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VERIF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281" r:id="rId19"/>
  </pivotCaches>
</workbook>
</file>

<file path=xl/calcChain.xml><?xml version="1.0" encoding="utf-8"?>
<calcChain xmlns="http://schemas.openxmlformats.org/spreadsheetml/2006/main">
  <c r="S51" i="31" l="1"/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BD7" i="29" s="1"/>
  <c r="BE7" i="29" s="1"/>
  <c r="BF7" i="29" s="1"/>
  <c r="AZ7" i="29"/>
  <c r="BA7" i="29"/>
  <c r="BB7" i="29"/>
  <c r="BC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/>
  <c r="BF20" i="29" s="1"/>
  <c r="AV21" i="29"/>
  <c r="AW21" i="29"/>
  <c r="AX21" i="29"/>
  <c r="AY21" i="29"/>
  <c r="AZ21" i="29"/>
  <c r="BA21" i="29"/>
  <c r="BB21" i="29"/>
  <c r="BC21" i="29"/>
  <c r="BD21" i="29"/>
  <c r="BE21" i="29"/>
  <c r="BF21" i="29" s="1"/>
  <c r="AV22" i="29"/>
  <c r="AW22" i="29"/>
  <c r="AX22" i="29"/>
  <c r="AY22" i="29"/>
  <c r="AZ22" i="29"/>
  <c r="BD22" i="29"/>
  <c r="BE22" i="29"/>
  <c r="BF22" i="29" s="1"/>
  <c r="AV23" i="29"/>
  <c r="AW23" i="29"/>
  <c r="AX23" i="29"/>
  <c r="AY23" i="29"/>
  <c r="AZ23" i="29"/>
  <c r="BD23" i="29"/>
  <c r="BE23" i="29"/>
  <c r="BF23" i="29" s="1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AZ25" i="29"/>
  <c r="AV26" i="29"/>
  <c r="AW26" i="29"/>
  <c r="AX26" i="29"/>
  <c r="AY26" i="29"/>
  <c r="AZ26" i="29"/>
  <c r="AV27" i="29"/>
  <c r="AW27" i="29"/>
  <c r="AX27" i="29"/>
  <c r="AY27" i="29"/>
  <c r="AZ27" i="29"/>
  <c r="AV28" i="29"/>
  <c r="AW28" i="29"/>
  <c r="AX28" i="29"/>
  <c r="AY28" i="29"/>
  <c r="AZ28" i="29"/>
  <c r="BD28" i="29"/>
  <c r="BE28" i="29" s="1"/>
  <c r="BF28" i="29" s="1"/>
  <c r="AV29" i="29"/>
  <c r="AW29" i="29"/>
  <c r="AX29" i="29"/>
  <c r="AY29" i="29"/>
  <c r="AZ29" i="29"/>
  <c r="BD29" i="29"/>
  <c r="BE29" i="29" s="1"/>
  <c r="BF29" i="29" s="1"/>
  <c r="AV30" i="29"/>
  <c r="AW30" i="29"/>
  <c r="AX30" i="29"/>
  <c r="AY30" i="29"/>
  <c r="AZ30" i="29"/>
  <c r="BD30" i="29"/>
  <c r="BE30" i="29" s="1"/>
  <c r="BF30" i="29" s="1"/>
  <c r="BG12" i="29" l="1"/>
  <c r="BG20" i="29"/>
  <c r="BG28" i="29"/>
  <c r="BK30" i="29"/>
  <c r="BL30" i="29"/>
  <c r="BJ30" i="29"/>
  <c r="BG30" i="29"/>
  <c r="BI30" i="29"/>
  <c r="BI24" i="29"/>
  <c r="BJ24" i="29"/>
  <c r="BG24" i="29"/>
  <c r="BK24" i="29"/>
  <c r="BL24" i="29"/>
  <c r="BL21" i="29"/>
  <c r="BI21" i="29"/>
  <c r="BK21" i="29"/>
  <c r="BJ21" i="29"/>
  <c r="BG21" i="29"/>
  <c r="BI16" i="29"/>
  <c r="BJ16" i="29"/>
  <c r="BK16" i="29"/>
  <c r="BL16" i="29"/>
  <c r="BH16" i="29"/>
  <c r="BG16" i="29"/>
  <c r="BJ15" i="29"/>
  <c r="BK15" i="29"/>
  <c r="BL15" i="29"/>
  <c r="BI15" i="29"/>
  <c r="BG15" i="29"/>
  <c r="BH15" i="29"/>
  <c r="BG29" i="29"/>
  <c r="BL28" i="29"/>
  <c r="BK28" i="29"/>
  <c r="BJ23" i="29"/>
  <c r="BK23" i="29"/>
  <c r="BG23" i="29"/>
  <c r="BI23" i="29"/>
  <c r="BL23" i="29"/>
  <c r="BH23" i="29"/>
  <c r="BK14" i="29"/>
  <c r="BJ14" i="29"/>
  <c r="BL14" i="29"/>
  <c r="BI14" i="29"/>
  <c r="BG14" i="29"/>
  <c r="BH14" i="29"/>
  <c r="BG13" i="29"/>
  <c r="BL29" i="29"/>
  <c r="BJ29" i="29"/>
  <c r="BK29" i="29"/>
  <c r="BI29" i="29"/>
  <c r="BK20" i="29"/>
  <c r="BL20" i="29"/>
  <c r="BL13" i="29"/>
  <c r="BK13" i="29"/>
  <c r="BI13" i="29"/>
  <c r="BJ13" i="29"/>
  <c r="BK6" i="29"/>
  <c r="BJ6" i="29"/>
  <c r="BH6" i="29"/>
  <c r="BI6" i="29"/>
  <c r="BI8" i="29"/>
  <c r="BJ8" i="29"/>
  <c r="BK8" i="29"/>
  <c r="BL8" i="29"/>
  <c r="BG8" i="29"/>
  <c r="BH8" i="29"/>
  <c r="BK22" i="29"/>
  <c r="BJ22" i="29"/>
  <c r="BL22" i="29"/>
  <c r="BH22" i="29"/>
  <c r="BG22" i="29"/>
  <c r="BI22" i="29"/>
  <c r="BL12" i="29"/>
  <c r="BK12" i="29"/>
  <c r="BJ7" i="29"/>
  <c r="BK7" i="29"/>
  <c r="BG7" i="29"/>
  <c r="BI7" i="29"/>
  <c r="BL7" i="29"/>
  <c r="BH7" i="29"/>
  <c r="BL5" i="29"/>
  <c r="BK5" i="29"/>
  <c r="BG5" i="29"/>
  <c r="BI5" i="29"/>
  <c r="BH5" i="29"/>
  <c r="BJ5" i="29"/>
  <c r="BD19" i="29"/>
  <c r="BE19" i="29" s="1"/>
  <c r="BF19" i="29" s="1"/>
  <c r="BD11" i="29"/>
  <c r="BE11" i="29" s="1"/>
  <c r="BF11" i="29" s="1"/>
  <c r="BH11" i="29" s="1"/>
  <c r="BD26" i="29"/>
  <c r="BE26" i="29" s="1"/>
  <c r="BF26" i="29" s="1"/>
  <c r="BJ20" i="29"/>
  <c r="BD18" i="29"/>
  <c r="BE18" i="29" s="1"/>
  <c r="BF18" i="29" s="1"/>
  <c r="BJ12" i="29"/>
  <c r="BI28" i="29"/>
  <c r="BD25" i="29"/>
  <c r="BE25" i="29" s="1"/>
  <c r="BF25" i="29" s="1"/>
  <c r="BK25" i="29" s="1"/>
  <c r="BH21" i="29"/>
  <c r="BI20" i="29"/>
  <c r="BD17" i="29"/>
  <c r="BE17" i="29" s="1"/>
  <c r="BF17" i="29" s="1"/>
  <c r="BH13" i="29"/>
  <c r="BI12" i="29"/>
  <c r="BD9" i="29"/>
  <c r="BE9" i="29" s="1"/>
  <c r="BF9" i="29" s="1"/>
  <c r="BG9" i="29" s="1"/>
  <c r="BG6" i="29"/>
  <c r="BJ28" i="29"/>
  <c r="BH20" i="29"/>
  <c r="BH12" i="29"/>
  <c r="BD27" i="29"/>
  <c r="BE27" i="29" s="1"/>
  <c r="BF27" i="29" s="1"/>
  <c r="BK27" i="29" s="1"/>
  <c r="BD10" i="29"/>
  <c r="BE10" i="29" s="1"/>
  <c r="BF10" i="29" s="1"/>
  <c r="BK10" i="29" s="1"/>
  <c r="BL6" i="29"/>
  <c r="BI9" i="29" l="1"/>
  <c r="BJ25" i="29"/>
  <c r="BH10" i="29"/>
  <c r="BG27" i="29"/>
  <c r="BJ26" i="29"/>
  <c r="BG26" i="29"/>
  <c r="BH9" i="29"/>
  <c r="BL11" i="29"/>
  <c r="BL9" i="29"/>
  <c r="BJ11" i="29"/>
  <c r="BL27" i="29"/>
  <c r="BG10" i="29"/>
  <c r="BK11" i="29"/>
  <c r="BK9" i="29"/>
  <c r="BI11" i="29"/>
  <c r="BJ9" i="29"/>
  <c r="BG11" i="29"/>
  <c r="BI27" i="29"/>
  <c r="BL18" i="29"/>
  <c r="BG18" i="29"/>
  <c r="BI18" i="29"/>
  <c r="BK18" i="29"/>
  <c r="BJ18" i="29"/>
  <c r="BH18" i="29"/>
  <c r="BH19" i="29"/>
  <c r="BK19" i="29"/>
  <c r="BJ19" i="29"/>
  <c r="BI19" i="29"/>
  <c r="BL19" i="29"/>
  <c r="BG19" i="29"/>
  <c r="BH17" i="29"/>
  <c r="BG17" i="29"/>
  <c r="BI26" i="29"/>
  <c r="BL25" i="29"/>
  <c r="BI10" i="29"/>
  <c r="BL26" i="29"/>
  <c r="BK26" i="29"/>
  <c r="BL17" i="29"/>
  <c r="BJ27" i="29"/>
  <c r="BL10" i="29"/>
  <c r="BJ17" i="29"/>
  <c r="BK17" i="29"/>
  <c r="BG25" i="29"/>
  <c r="BJ10" i="29"/>
  <c r="BI17" i="29"/>
  <c r="BI25" i="29"/>
  <c r="AV4" i="29" l="1"/>
  <c r="AW4" i="29"/>
  <c r="C150" i="31" l="1"/>
  <c r="C151" i="31"/>
  <c r="C152" i="31"/>
  <c r="C153" i="31"/>
  <c r="C154" i="31"/>
  <c r="C155" i="31"/>
  <c r="C149" i="31"/>
  <c r="AF4" i="24" l="1"/>
  <c r="AF4" i="18"/>
  <c r="T38" i="31" l="1"/>
  <c r="B202" i="24"/>
  <c r="C202" i="24"/>
  <c r="D202" i="24"/>
  <c r="E202" i="24"/>
  <c r="F202" i="24"/>
  <c r="G202" i="24"/>
  <c r="H202" i="24"/>
  <c r="I202" i="24"/>
  <c r="J202" i="24"/>
  <c r="K202" i="24"/>
  <c r="L202" i="24"/>
  <c r="M202" i="24"/>
  <c r="N202" i="24"/>
  <c r="O202" i="24"/>
  <c r="P202" i="24"/>
  <c r="Q202" i="24"/>
  <c r="R202" i="24"/>
  <c r="S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J201" i="24"/>
  <c r="K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C302" i="33" l="1"/>
  <c r="C303" i="33"/>
  <c r="C297" i="33"/>
  <c r="C296" i="33"/>
  <c r="C295" i="33"/>
  <c r="AD29" i="29"/>
  <c r="AD28" i="29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/>
  <c r="M6" i="7" s="1"/>
  <c r="N6" i="7"/>
  <c r="K7" i="7"/>
  <c r="L7" i="7"/>
  <c r="M7" i="7" s="1"/>
  <c r="N7" i="7"/>
  <c r="K8" i="7"/>
  <c r="L8" i="7"/>
  <c r="M8" i="7" s="1"/>
  <c r="N8" i="7"/>
  <c r="K9" i="7"/>
  <c r="L9" i="7"/>
  <c r="M9" i="7" s="1"/>
  <c r="N9" i="7"/>
  <c r="K10" i="7"/>
  <c r="L10" i="7"/>
  <c r="M10" i="7" s="1"/>
  <c r="N10" i="7"/>
  <c r="K11" i="7"/>
  <c r="L11" i="7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/>
  <c r="M18" i="7" s="1"/>
  <c r="N18" i="7"/>
  <c r="K19" i="7"/>
  <c r="L19" i="7"/>
  <c r="M19" i="7" s="1"/>
  <c r="N19" i="7"/>
  <c r="K20" i="7"/>
  <c r="L20" i="7"/>
  <c r="M20" i="7" s="1"/>
  <c r="N20" i="7"/>
  <c r="K21" i="7"/>
  <c r="L21" i="7"/>
  <c r="M21" i="7" s="1"/>
  <c r="N21" i="7"/>
  <c r="K22" i="7"/>
  <c r="L22" i="7"/>
  <c r="M22" i="7" s="1"/>
  <c r="N22" i="7"/>
  <c r="K23" i="7"/>
  <c r="L23" i="7"/>
  <c r="M23" i="7" s="1"/>
  <c r="N23" i="7"/>
  <c r="K24" i="7"/>
  <c r="L24" i="7"/>
  <c r="M24" i="7" s="1"/>
  <c r="N24" i="7"/>
  <c r="K25" i="7"/>
  <c r="L25" i="7"/>
  <c r="M25" i="7" s="1"/>
  <c r="N25" i="7"/>
  <c r="K26" i="7"/>
  <c r="L26" i="7"/>
  <c r="M26" i="7" s="1"/>
  <c r="N26" i="7"/>
  <c r="K27" i="7"/>
  <c r="L27" i="7"/>
  <c r="M27" i="7" s="1"/>
  <c r="N27" i="7"/>
  <c r="K28" i="7"/>
  <c r="L28" i="7"/>
  <c r="M28" i="7" s="1"/>
  <c r="N28" i="7"/>
  <c r="K29" i="7"/>
  <c r="L29" i="7"/>
  <c r="M29" i="7" s="1"/>
  <c r="N29" i="7"/>
  <c r="K30" i="7"/>
  <c r="L30" i="7"/>
  <c r="M30" i="7" s="1"/>
  <c r="N30" i="7"/>
  <c r="K31" i="7"/>
  <c r="L31" i="7"/>
  <c r="M31" i="7" s="1"/>
  <c r="N31" i="7"/>
  <c r="K32" i="7"/>
  <c r="L32" i="7"/>
  <c r="M32" i="7" s="1"/>
  <c r="N32" i="7"/>
  <c r="K2" i="7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X30" i="29"/>
  <c r="W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L29" i="29"/>
  <c r="K29" i="29"/>
  <c r="J29" i="29"/>
  <c r="I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T207" i="31"/>
  <c r="T206" i="31"/>
  <c r="T205" i="31"/>
  <c r="T204" i="31"/>
  <c r="T203" i="31"/>
  <c r="T202" i="31"/>
  <c r="T201" i="31"/>
  <c r="T200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T207" i="28"/>
  <c r="T206" i="28"/>
  <c r="T205" i="28"/>
  <c r="T204" i="28"/>
  <c r="T203" i="28"/>
  <c r="T202" i="28"/>
  <c r="T201" i="28"/>
  <c r="T200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R8" i="7" l="1"/>
  <c r="S8" i="7"/>
  <c r="R9" i="7"/>
  <c r="S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D54" i="33" s="1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49" i="33"/>
  <c r="D33" i="33"/>
  <c r="D29" i="33"/>
  <c r="D24" i="33"/>
  <c r="D16" i="33"/>
  <c r="D15" i="33"/>
  <c r="D6" i="33"/>
  <c r="D5" i="33"/>
  <c r="D1" i="33"/>
  <c r="D4" i="33" l="1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I217" i="33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E62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91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Q91" i="30" s="1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M18" i="30" s="1"/>
  <c r="BL7" i="30"/>
  <c r="BL18" i="30" s="1"/>
  <c r="BK7" i="30"/>
  <c r="BJ7" i="30"/>
  <c r="BI7" i="30"/>
  <c r="BH7" i="30"/>
  <c r="BH18" i="30" s="1"/>
  <c r="BG7" i="30"/>
  <c r="BF7" i="30"/>
  <c r="BF18" i="30" s="1"/>
  <c r="BE7" i="30"/>
  <c r="BE18" i="30" s="1"/>
  <c r="BD7" i="30"/>
  <c r="BD18" i="30" s="1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E92" i="30" s="1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K16" i="30" s="1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H15" i="30" s="1"/>
  <c r="BG4" i="30"/>
  <c r="BG15" i="30" s="1"/>
  <c r="BF4" i="30"/>
  <c r="BF15" i="30" s="1"/>
  <c r="BE4" i="30"/>
  <c r="BD4" i="30"/>
  <c r="BC4" i="30"/>
  <c r="BB4" i="30"/>
  <c r="BB90" i="30" s="1"/>
  <c r="BA4" i="30"/>
  <c r="AZ4" i="30"/>
  <c r="AZ15" i="30" s="1"/>
  <c r="AY4" i="30"/>
  <c r="AY15" i="30" s="1"/>
  <c r="AX4" i="30"/>
  <c r="AX15" i="30" s="1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W91" i="30"/>
  <c r="CT91" i="30"/>
  <c r="CQ91" i="30"/>
  <c r="CP91" i="30"/>
  <c r="CO91" i="30"/>
  <c r="CN91" i="30"/>
  <c r="CL91" i="30"/>
  <c r="CI91" i="30"/>
  <c r="CF91" i="30"/>
  <c r="CD91" i="30"/>
  <c r="BS91" i="30"/>
  <c r="BR91" i="30"/>
  <c r="BP91" i="30"/>
  <c r="BO91" i="30"/>
  <c r="BM91" i="30"/>
  <c r="BI91" i="30"/>
  <c r="BH91" i="30"/>
  <c r="BG91" i="30"/>
  <c r="BE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L16" i="30"/>
  <c r="CD16" i="30"/>
  <c r="CD61" i="30" s="1"/>
  <c r="CD107" i="30" s="1"/>
  <c r="BS16" i="30"/>
  <c r="BQ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J18" i="30"/>
  <c r="BB18" i="30"/>
  <c r="AW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J17" i="30"/>
  <c r="BB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M15" i="30"/>
  <c r="BL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U25" i="28"/>
  <c r="T25" i="28"/>
  <c r="U24" i="28"/>
  <c r="T24" i="28"/>
  <c r="V24" i="28" s="1"/>
  <c r="K71" i="28"/>
  <c r="C39" i="33" s="1"/>
  <c r="D39" i="33" s="1"/>
  <c r="K72" i="28"/>
  <c r="C40" i="33" s="1"/>
  <c r="D40" i="33" s="1"/>
  <c r="K11" i="28"/>
  <c r="K10" i="28"/>
  <c r="C9" i="33" s="1"/>
  <c r="D9" i="33" s="1"/>
  <c r="S3" i="29" l="1"/>
  <c r="Z171" i="31"/>
  <c r="T171" i="31"/>
  <c r="Y171" i="31"/>
  <c r="X171" i="31"/>
  <c r="T171" i="28"/>
  <c r="Z171" i="28"/>
  <c r="AC171" i="28" s="1"/>
  <c r="Y171" i="28"/>
  <c r="AB171" i="28" s="1"/>
  <c r="X171" i="28"/>
  <c r="AA171" i="28" s="1"/>
  <c r="AF145" i="31"/>
  <c r="AF139" i="31"/>
  <c r="AF133" i="31"/>
  <c r="AF127" i="31"/>
  <c r="AF142" i="31"/>
  <c r="AF136" i="31"/>
  <c r="AF130" i="31"/>
  <c r="U136" i="31"/>
  <c r="L114" i="31" s="1"/>
  <c r="U134" i="31"/>
  <c r="U135" i="31"/>
  <c r="U133" i="31"/>
  <c r="K111" i="31" s="1"/>
  <c r="U137" i="31"/>
  <c r="U132" i="31"/>
  <c r="CV16" i="30"/>
  <c r="BE17" i="30"/>
  <c r="BP15" i="30"/>
  <c r="BM17" i="30"/>
  <c r="AY90" i="30"/>
  <c r="AY99" i="30" s="1"/>
  <c r="AY100" i="30" s="1"/>
  <c r="AY101" i="30" s="1"/>
  <c r="AW17" i="30"/>
  <c r="BD90" i="30"/>
  <c r="D225" i="33"/>
  <c r="D239" i="33"/>
  <c r="D223" i="33"/>
  <c r="D224" i="33"/>
  <c r="I220" i="33"/>
  <c r="I221" i="33" s="1"/>
  <c r="D16" i="30"/>
  <c r="F16" i="30" s="1"/>
  <c r="AK191" i="33" s="1"/>
  <c r="AO191" i="33" s="1"/>
  <c r="C158" i="31"/>
  <c r="C161" i="31"/>
  <c r="C160" i="31"/>
  <c r="C159" i="31"/>
  <c r="BD4" i="29"/>
  <c r="BE4" i="29" s="1"/>
  <c r="BF4" i="29" s="1"/>
  <c r="V26" i="28"/>
  <c r="AC26" i="28" s="1"/>
  <c r="T167" i="31"/>
  <c r="Z167" i="31"/>
  <c r="X167" i="31"/>
  <c r="AA167" i="31" s="1"/>
  <c r="Y167" i="31"/>
  <c r="Z170" i="28"/>
  <c r="AC170" i="28" s="1"/>
  <c r="Y170" i="28"/>
  <c r="AB170" i="28" s="1"/>
  <c r="X170" i="28"/>
  <c r="AA170" i="28" s="1"/>
  <c r="T170" i="28"/>
  <c r="U170" i="28" s="1"/>
  <c r="T166" i="28"/>
  <c r="Z166" i="28"/>
  <c r="AC166" i="28" s="1"/>
  <c r="Y166" i="28"/>
  <c r="AB166" i="28" s="1"/>
  <c r="X166" i="28"/>
  <c r="X164" i="31"/>
  <c r="AA164" i="31" s="1"/>
  <c r="Y164" i="31"/>
  <c r="AB164" i="31" s="1"/>
  <c r="Z164" i="31"/>
  <c r="AC164" i="31" s="1"/>
  <c r="T164" i="31"/>
  <c r="U164" i="31" s="1"/>
  <c r="Z168" i="31"/>
  <c r="AC168" i="31" s="1"/>
  <c r="T168" i="31"/>
  <c r="Y168" i="31"/>
  <c r="AB168" i="31" s="1"/>
  <c r="X168" i="31"/>
  <c r="Z167" i="28"/>
  <c r="AC167" i="28" s="1"/>
  <c r="Y167" i="28"/>
  <c r="AB167" i="28" s="1"/>
  <c r="X167" i="28"/>
  <c r="AA167" i="28" s="1"/>
  <c r="T167" i="28"/>
  <c r="Z165" i="31"/>
  <c r="AC165" i="31" s="1"/>
  <c r="Y165" i="31"/>
  <c r="AB165" i="31" s="1"/>
  <c r="X165" i="31"/>
  <c r="AA165" i="31" s="1"/>
  <c r="T165" i="31"/>
  <c r="Y169" i="31"/>
  <c r="AB169" i="31" s="1"/>
  <c r="X169" i="31"/>
  <c r="AA169" i="31" s="1"/>
  <c r="T169" i="31"/>
  <c r="Z169" i="31"/>
  <c r="AC169" i="31" s="1"/>
  <c r="Z169" i="28"/>
  <c r="AC169" i="28" s="1"/>
  <c r="Y169" i="28"/>
  <c r="AB169" i="28" s="1"/>
  <c r="T169" i="28"/>
  <c r="AF169" i="28" s="1"/>
  <c r="X169" i="28"/>
  <c r="AA169" i="28" s="1"/>
  <c r="X168" i="28"/>
  <c r="AA168" i="28" s="1"/>
  <c r="T168" i="28"/>
  <c r="Y168" i="28"/>
  <c r="AB168" i="28" s="1"/>
  <c r="Z168" i="28"/>
  <c r="AC168" i="28" s="1"/>
  <c r="Y165" i="28"/>
  <c r="AB165" i="28" s="1"/>
  <c r="T165" i="28"/>
  <c r="Z165" i="28"/>
  <c r="AC165" i="28" s="1"/>
  <c r="X165" i="28"/>
  <c r="AA165" i="28" s="1"/>
  <c r="T164" i="28"/>
  <c r="Z164" i="28"/>
  <c r="AC164" i="28" s="1"/>
  <c r="Y164" i="28"/>
  <c r="AB164" i="28" s="1"/>
  <c r="X164" i="28"/>
  <c r="AA164" i="28" s="1"/>
  <c r="Z166" i="31"/>
  <c r="Y166" i="31"/>
  <c r="AB166" i="31" s="1"/>
  <c r="X166" i="31"/>
  <c r="AA166" i="31" s="1"/>
  <c r="T166" i="31"/>
  <c r="T170" i="31"/>
  <c r="U170" i="31" s="1"/>
  <c r="Z170" i="31"/>
  <c r="AC170" i="31" s="1"/>
  <c r="Y170" i="31"/>
  <c r="AB170" i="31" s="1"/>
  <c r="X170" i="31"/>
  <c r="AA170" i="31" s="1"/>
  <c r="Y186" i="28"/>
  <c r="AB186" i="28" s="1"/>
  <c r="X186" i="28"/>
  <c r="Z186" i="28"/>
  <c r="AC186" i="28" s="1"/>
  <c r="T186" i="28"/>
  <c r="T190" i="28"/>
  <c r="U190" i="28" s="1"/>
  <c r="Z190" i="28"/>
  <c r="AC190" i="28" s="1"/>
  <c r="Y190" i="28"/>
  <c r="AB190" i="28" s="1"/>
  <c r="X190" i="28"/>
  <c r="AA190" i="28" s="1"/>
  <c r="Z187" i="31"/>
  <c r="Y187" i="31"/>
  <c r="AB187" i="31" s="1"/>
  <c r="T187" i="31"/>
  <c r="AF187" i="31" s="1"/>
  <c r="X187" i="31"/>
  <c r="Z191" i="31"/>
  <c r="AC191" i="31" s="1"/>
  <c r="Y191" i="31"/>
  <c r="AB191" i="31" s="1"/>
  <c r="T191" i="31"/>
  <c r="X191" i="31"/>
  <c r="AA191" i="31" s="1"/>
  <c r="Z187" i="28"/>
  <c r="AC187" i="28" s="1"/>
  <c r="T187" i="28"/>
  <c r="Y187" i="28"/>
  <c r="AB187" i="28" s="1"/>
  <c r="X187" i="28"/>
  <c r="Z191" i="28"/>
  <c r="AC191" i="28" s="1"/>
  <c r="T191" i="28"/>
  <c r="Y191" i="28"/>
  <c r="AB191" i="28" s="1"/>
  <c r="X191" i="28"/>
  <c r="AA191" i="28" s="1"/>
  <c r="Z188" i="31"/>
  <c r="AC188" i="31" s="1"/>
  <c r="Y188" i="31"/>
  <c r="AB188" i="31" s="1"/>
  <c r="X188" i="31"/>
  <c r="AA188" i="31" s="1"/>
  <c r="T188" i="31"/>
  <c r="T192" i="31"/>
  <c r="X192" i="31"/>
  <c r="AA192" i="31" s="1"/>
  <c r="Z192" i="31"/>
  <c r="AC192" i="31" s="1"/>
  <c r="Y192" i="31"/>
  <c r="AB192" i="31" s="1"/>
  <c r="Z188" i="28"/>
  <c r="AC188" i="28" s="1"/>
  <c r="Y188" i="28"/>
  <c r="X188" i="28"/>
  <c r="AA188" i="28" s="1"/>
  <c r="T188" i="28"/>
  <c r="T192" i="28"/>
  <c r="Z192" i="28"/>
  <c r="AC192" i="28" s="1"/>
  <c r="X192" i="28"/>
  <c r="AA192" i="28" s="1"/>
  <c r="Y192" i="28"/>
  <c r="AB192" i="28" s="1"/>
  <c r="X189" i="31"/>
  <c r="AA189" i="31" s="1"/>
  <c r="T189" i="31"/>
  <c r="V189" i="31" s="1"/>
  <c r="Z189" i="31"/>
  <c r="Y189" i="31"/>
  <c r="X189" i="28"/>
  <c r="AA189" i="28" s="1"/>
  <c r="Y189" i="28"/>
  <c r="AB189" i="28" s="1"/>
  <c r="T189" i="28"/>
  <c r="Z189" i="28"/>
  <c r="AC189" i="28" s="1"/>
  <c r="Y186" i="31"/>
  <c r="AB186" i="31" s="1"/>
  <c r="X186" i="31"/>
  <c r="AA186" i="31" s="1"/>
  <c r="Z186" i="31"/>
  <c r="AC186" i="31" s="1"/>
  <c r="T186" i="31"/>
  <c r="T190" i="31"/>
  <c r="V190" i="31" s="1"/>
  <c r="Z190" i="31"/>
  <c r="AC190" i="31" s="1"/>
  <c r="Y190" i="31"/>
  <c r="AB190" i="31" s="1"/>
  <c r="X190" i="31"/>
  <c r="AA190" i="31" s="1"/>
  <c r="X199" i="28"/>
  <c r="AA199" i="28" s="1"/>
  <c r="Y199" i="28"/>
  <c r="Z199" i="28"/>
  <c r="AC199" i="28" s="1"/>
  <c r="T199" i="28"/>
  <c r="Z199" i="31"/>
  <c r="AC199" i="31" s="1"/>
  <c r="T199" i="31"/>
  <c r="Y199" i="31"/>
  <c r="AB199" i="31" s="1"/>
  <c r="X199" i="31"/>
  <c r="AA199" i="31" s="1"/>
  <c r="Z198" i="31"/>
  <c r="AC198" i="31" s="1"/>
  <c r="Y198" i="31"/>
  <c r="T198" i="31"/>
  <c r="X198" i="31"/>
  <c r="T198" i="28"/>
  <c r="X198" i="28"/>
  <c r="AA198" i="28" s="1"/>
  <c r="Z198" i="28"/>
  <c r="AC198" i="28" s="1"/>
  <c r="Y198" i="28"/>
  <c r="AB198" i="28" s="1"/>
  <c r="Z197" i="31"/>
  <c r="AC197" i="31" s="1"/>
  <c r="Y197" i="31"/>
  <c r="AB197" i="31" s="1"/>
  <c r="X197" i="31"/>
  <c r="T197" i="31"/>
  <c r="Y197" i="28"/>
  <c r="AB197" i="28" s="1"/>
  <c r="T197" i="28"/>
  <c r="Z197" i="28"/>
  <c r="AC197" i="28" s="1"/>
  <c r="X197" i="28"/>
  <c r="AA197" i="28" s="1"/>
  <c r="X196" i="31"/>
  <c r="AA196" i="31" s="1"/>
  <c r="T196" i="31"/>
  <c r="W196" i="31" s="1"/>
  <c r="Z196" i="31"/>
  <c r="AC196" i="31" s="1"/>
  <c r="Y196" i="31"/>
  <c r="X196" i="28"/>
  <c r="AA196" i="28" s="1"/>
  <c r="Z196" i="28"/>
  <c r="AC196" i="28" s="1"/>
  <c r="Y196" i="28"/>
  <c r="AB196" i="28" s="1"/>
  <c r="T196" i="28"/>
  <c r="X195" i="31"/>
  <c r="AA195" i="31" s="1"/>
  <c r="T195" i="31"/>
  <c r="Z195" i="31"/>
  <c r="AC195" i="31" s="1"/>
  <c r="Y195" i="31"/>
  <c r="Z195" i="28"/>
  <c r="AC195" i="28" s="1"/>
  <c r="Y195" i="28"/>
  <c r="AB195" i="28" s="1"/>
  <c r="X195" i="28"/>
  <c r="AA195" i="28" s="1"/>
  <c r="T195" i="28"/>
  <c r="AF195" i="28" s="1"/>
  <c r="Z194" i="28"/>
  <c r="Y194" i="28"/>
  <c r="AB194" i="28" s="1"/>
  <c r="T194" i="28"/>
  <c r="V194" i="28" s="1"/>
  <c r="X194" i="28"/>
  <c r="Z194" i="31"/>
  <c r="AC194" i="31" s="1"/>
  <c r="Y194" i="31"/>
  <c r="AB194" i="31" s="1"/>
  <c r="X194" i="31"/>
  <c r="AA194" i="31" s="1"/>
  <c r="T194" i="31"/>
  <c r="U194" i="31" s="1"/>
  <c r="X173" i="31"/>
  <c r="AA173" i="31" s="1"/>
  <c r="Z173" i="31"/>
  <c r="AC173" i="31" s="1"/>
  <c r="AF173" i="31" s="1"/>
  <c r="Y173" i="31"/>
  <c r="AB173" i="31" s="1"/>
  <c r="T173" i="31"/>
  <c r="Y173" i="28"/>
  <c r="AB173" i="28" s="1"/>
  <c r="T173" i="28"/>
  <c r="AJ173" i="28" s="1"/>
  <c r="X173" i="28"/>
  <c r="AA173" i="28" s="1"/>
  <c r="Z173" i="28"/>
  <c r="AC173" i="28" s="1"/>
  <c r="Z172" i="31"/>
  <c r="AC172" i="31" s="1"/>
  <c r="Y172" i="31"/>
  <c r="AB172" i="31" s="1"/>
  <c r="X172" i="31"/>
  <c r="AA172" i="31" s="1"/>
  <c r="T172" i="31"/>
  <c r="T172" i="28"/>
  <c r="AF172" i="28" s="1"/>
  <c r="Z172" i="28"/>
  <c r="AC172" i="28" s="1"/>
  <c r="Y172" i="28"/>
  <c r="AB172" i="28" s="1"/>
  <c r="X172" i="28"/>
  <c r="AA172" i="28" s="1"/>
  <c r="V25" i="28"/>
  <c r="AA25" i="28" s="1"/>
  <c r="BF90" i="30"/>
  <c r="BN90" i="30"/>
  <c r="CB90" i="30"/>
  <c r="CE90" i="30"/>
  <c r="CX92" i="30"/>
  <c r="AC24" i="28"/>
  <c r="AF188" i="31"/>
  <c r="AB188" i="28"/>
  <c r="S4" i="29"/>
  <c r="S20" i="29"/>
  <c r="AB171" i="31"/>
  <c r="AA171" i="31"/>
  <c r="AC171" i="31"/>
  <c r="AA168" i="31"/>
  <c r="V165" i="31"/>
  <c r="AC189" i="31"/>
  <c r="AB189" i="31"/>
  <c r="AA166" i="28"/>
  <c r="AC166" i="31"/>
  <c r="K113" i="31"/>
  <c r="K110" i="31"/>
  <c r="AA186" i="28"/>
  <c r="W186" i="31"/>
  <c r="AA187" i="28"/>
  <c r="AC187" i="31"/>
  <c r="AA187" i="31"/>
  <c r="AC167" i="31"/>
  <c r="AB167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BC99" i="30" s="1"/>
  <c r="BC100" i="30" s="1"/>
  <c r="BC101" i="30" s="1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W172" i="31"/>
  <c r="AB176" i="31"/>
  <c r="AA176" i="31"/>
  <c r="AJ176" i="31"/>
  <c r="AC176" i="31"/>
  <c r="AC180" i="31"/>
  <c r="AA180" i="31"/>
  <c r="AB180" i="31"/>
  <c r="AB184" i="31"/>
  <c r="U184" i="31"/>
  <c r="AC184" i="31"/>
  <c r="AB196" i="31"/>
  <c r="AB200" i="31"/>
  <c r="AA200" i="31"/>
  <c r="AF200" i="31"/>
  <c r="AC200" i="31"/>
  <c r="AC204" i="31"/>
  <c r="AA204" i="31"/>
  <c r="AB204" i="3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A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B181" i="28"/>
  <c r="AC181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AA194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B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B195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BP99" i="30" s="1"/>
  <c r="BP100" i="30" s="1"/>
  <c r="BP101" i="30" s="1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R29" i="29" s="1"/>
  <c r="Z25" i="29"/>
  <c r="I159" i="29"/>
  <c r="I160" i="29"/>
  <c r="W160" i="29"/>
  <c r="O161" i="29"/>
  <c r="E47" i="29"/>
  <c r="M47" i="29"/>
  <c r="U46" i="29"/>
  <c r="BB15" i="30"/>
  <c r="BB60" i="30" s="1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O72" i="30" s="1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AA72" i="30" s="1"/>
  <c r="G26" i="29"/>
  <c r="G25" i="29"/>
  <c r="O26" i="29"/>
  <c r="O30" i="29" s="1"/>
  <c r="O25" i="29"/>
  <c r="O29" i="29" s="1"/>
  <c r="W26" i="29"/>
  <c r="W25" i="29"/>
  <c r="P5" i="29"/>
  <c r="P9" i="29" s="1"/>
  <c r="P20" i="29"/>
  <c r="P4" i="29"/>
  <c r="P3" i="29"/>
  <c r="X26" i="29"/>
  <c r="X25" i="29"/>
  <c r="H5" i="29"/>
  <c r="H9" i="29" s="1"/>
  <c r="H20" i="29"/>
  <c r="H21" i="29" s="1"/>
  <c r="H7" i="29" s="1"/>
  <c r="H12" i="29" s="1"/>
  <c r="H4" i="29"/>
  <c r="H3" i="29"/>
  <c r="H26" i="29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P29" i="29" s="1"/>
  <c r="C19" i="29"/>
  <c r="C5" i="29"/>
  <c r="C9" i="29" s="1"/>
  <c r="C41" i="29"/>
  <c r="C42" i="29" s="1"/>
  <c r="C26" i="29"/>
  <c r="C32" i="29" s="1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P72" i="30" s="1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25" i="29"/>
  <c r="M26" i="29"/>
  <c r="M30" i="29" s="1"/>
  <c r="M25" i="29"/>
  <c r="M29" i="29" s="1"/>
  <c r="U26" i="29"/>
  <c r="U30" i="29" s="1"/>
  <c r="U25" i="29"/>
  <c r="U29" i="29" s="1"/>
  <c r="C3" i="29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30" i="29" s="1"/>
  <c r="N25" i="29"/>
  <c r="N29" i="29" s="1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N72" i="30" s="1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AA258" i="31" s="1"/>
  <c r="Z256" i="31"/>
  <c r="AA256" i="31" s="1"/>
  <c r="Z260" i="31"/>
  <c r="AA260" i="31" s="1"/>
  <c r="AC201" i="31"/>
  <c r="J126" i="31"/>
  <c r="J130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V27" i="30"/>
  <c r="CV72" i="30" s="1"/>
  <c r="CG27" i="30"/>
  <c r="CG61" i="30" s="1"/>
  <c r="CO27" i="30"/>
  <c r="CO61" i="30" s="1"/>
  <c r="CW27" i="30"/>
  <c r="CW61" i="30" s="1"/>
  <c r="CH27" i="30"/>
  <c r="CH61" i="30" s="1"/>
  <c r="CP27" i="30"/>
  <c r="CP61" i="30" s="1"/>
  <c r="CX27" i="30"/>
  <c r="CI27" i="30"/>
  <c r="CI72" i="30" s="1"/>
  <c r="CQ27" i="30"/>
  <c r="CQ61" i="30" s="1"/>
  <c r="CY27" i="30"/>
  <c r="CJ27" i="30"/>
  <c r="CR27" i="30"/>
  <c r="CR61" i="30" s="1"/>
  <c r="CB27" i="30"/>
  <c r="CC27" i="30"/>
  <c r="CK27" i="30"/>
  <c r="CK61" i="30" s="1"/>
  <c r="CS27" i="30"/>
  <c r="CS61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E108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M100" i="30" s="1"/>
  <c r="BM101" i="30" s="1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E106" i="30" s="1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BA106" i="30" s="1"/>
  <c r="CV71" i="30"/>
  <c r="DP71" i="30"/>
  <c r="DX71" i="30"/>
  <c r="DP72" i="30"/>
  <c r="BI73" i="30"/>
  <c r="BI62" i="30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AA259" i="31" s="1"/>
  <c r="Z257" i="31"/>
  <c r="AA257" i="31" s="1"/>
  <c r="U197" i="31"/>
  <c r="AF197" i="31"/>
  <c r="AI205" i="31"/>
  <c r="AI181" i="31"/>
  <c r="W197" i="31"/>
  <c r="AG197" i="31"/>
  <c r="AJ205" i="31"/>
  <c r="X246" i="31"/>
  <c r="AB207" i="3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A206" i="28"/>
  <c r="AJ179" i="28"/>
  <c r="Y26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W26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Z25" i="28"/>
  <c r="W27" i="28"/>
  <c r="Y29" i="28"/>
  <c r="AB31" i="28"/>
  <c r="AC32" i="28"/>
  <c r="AB33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C194" i="28"/>
  <c r="T14" i="7"/>
  <c r="T13" i="7"/>
  <c r="T12" i="7"/>
  <c r="T11" i="7"/>
  <c r="CM108" i="30" l="1"/>
  <c r="CS108" i="30"/>
  <c r="CU107" i="30"/>
  <c r="CG107" i="30"/>
  <c r="CH106" i="30"/>
  <c r="CM106" i="30"/>
  <c r="CW108" i="30"/>
  <c r="CH108" i="30"/>
  <c r="CS107" i="30"/>
  <c r="CN107" i="30"/>
  <c r="CT106" i="30"/>
  <c r="CJ106" i="30"/>
  <c r="CO106" i="30"/>
  <c r="CR108" i="30"/>
  <c r="CK107" i="30"/>
  <c r="BI106" i="30"/>
  <c r="BN108" i="30"/>
  <c r="CQ107" i="30"/>
  <c r="CR106" i="30"/>
  <c r="CW106" i="30"/>
  <c r="BB107" i="30"/>
  <c r="BG108" i="30"/>
  <c r="BI108" i="30"/>
  <c r="CJ108" i="30"/>
  <c r="CM107" i="30"/>
  <c r="CP107" i="30"/>
  <c r="CS106" i="30"/>
  <c r="CQ106" i="30"/>
  <c r="CV106" i="30"/>
  <c r="BB106" i="30"/>
  <c r="BC107" i="30"/>
  <c r="BD106" i="30"/>
  <c r="BE108" i="30"/>
  <c r="BL108" i="30"/>
  <c r="BJ106" i="30"/>
  <c r="BN106" i="30"/>
  <c r="CV108" i="30"/>
  <c r="CT108" i="30"/>
  <c r="CT107" i="30"/>
  <c r="CH107" i="30"/>
  <c r="AY107" i="30"/>
  <c r="BH106" i="30"/>
  <c r="BH108" i="30"/>
  <c r="BM106" i="30"/>
  <c r="CF108" i="30"/>
  <c r="CL108" i="30"/>
  <c r="CQ108" i="30"/>
  <c r="CL107" i="30"/>
  <c r="CR107" i="30"/>
  <c r="CW107" i="30"/>
  <c r="CP106" i="30"/>
  <c r="CD108" i="30"/>
  <c r="AX107" i="30"/>
  <c r="BF106" i="30"/>
  <c r="CU108" i="30"/>
  <c r="CI108" i="30"/>
  <c r="CO107" i="30"/>
  <c r="CU106" i="30"/>
  <c r="AD72" i="30"/>
  <c r="Z8" i="29"/>
  <c r="AC72" i="30"/>
  <c r="Y8" i="29"/>
  <c r="Y201" i="29" s="1"/>
  <c r="M72" i="30"/>
  <c r="I72" i="30"/>
  <c r="E8" i="29"/>
  <c r="E201" i="29" s="1"/>
  <c r="E212" i="29" s="1"/>
  <c r="H72" i="30"/>
  <c r="D8" i="29"/>
  <c r="Z72" i="30"/>
  <c r="J72" i="30"/>
  <c r="F8" i="29"/>
  <c r="F201" i="29" s="1"/>
  <c r="L72" i="30"/>
  <c r="H8" i="29"/>
  <c r="H201" i="29" s="1"/>
  <c r="K72" i="30"/>
  <c r="G8" i="29"/>
  <c r="G201" i="29" s="1"/>
  <c r="X8" i="29"/>
  <c r="AB72" i="30"/>
  <c r="C8" i="29"/>
  <c r="G72" i="30"/>
  <c r="V72" i="30"/>
  <c r="R8" i="29"/>
  <c r="R201" i="29" s="1"/>
  <c r="R72" i="30"/>
  <c r="N8" i="29"/>
  <c r="S72" i="30"/>
  <c r="O8" i="29"/>
  <c r="T72" i="30"/>
  <c r="P8" i="29"/>
  <c r="P201" i="29" s="1"/>
  <c r="U8" i="29"/>
  <c r="U201" i="29" s="1"/>
  <c r="Y72" i="30"/>
  <c r="X72" i="30"/>
  <c r="T8" i="29"/>
  <c r="M8" i="29"/>
  <c r="Q72" i="30"/>
  <c r="U72" i="30"/>
  <c r="Q8" i="29"/>
  <c r="Q201" i="29" s="1"/>
  <c r="S8" i="29"/>
  <c r="S201" i="29" s="1"/>
  <c r="W72" i="30"/>
  <c r="AC25" i="28"/>
  <c r="AC34" i="28" s="1"/>
  <c r="K39" i="28" s="1"/>
  <c r="C96" i="33" s="1"/>
  <c r="W25" i="28"/>
  <c r="Y25" i="28"/>
  <c r="X25" i="28"/>
  <c r="BD99" i="30"/>
  <c r="BD100" i="30" s="1"/>
  <c r="BD101" i="30" s="1"/>
  <c r="AX99" i="30"/>
  <c r="AX100" i="30" s="1"/>
  <c r="AX101" i="30" s="1"/>
  <c r="BN99" i="30"/>
  <c r="BN100" i="30" s="1"/>
  <c r="BN101" i="30" s="1"/>
  <c r="AZ99" i="30"/>
  <c r="AZ100" i="30" s="1"/>
  <c r="AZ101" i="30" s="1"/>
  <c r="V8" i="29"/>
  <c r="V201" i="29" s="1"/>
  <c r="W8" i="29"/>
  <c r="W201" i="29" s="1"/>
  <c r="J8" i="29"/>
  <c r="K8" i="29"/>
  <c r="K201" i="29" s="1"/>
  <c r="I8" i="29"/>
  <c r="I201" i="29" s="1"/>
  <c r="U195" i="28"/>
  <c r="L8" i="29"/>
  <c r="L201" i="29" s="1"/>
  <c r="BB71" i="30"/>
  <c r="T258" i="31"/>
  <c r="U258" i="31" s="1"/>
  <c r="T260" i="31"/>
  <c r="U260" i="31" s="1"/>
  <c r="T257" i="31"/>
  <c r="U257" i="31" s="1"/>
  <c r="T256" i="31"/>
  <c r="U256" i="31" s="1"/>
  <c r="X28" i="31"/>
  <c r="AG33" i="31"/>
  <c r="AH33" i="31" s="1"/>
  <c r="AI33" i="31" s="1"/>
  <c r="X30" i="31"/>
  <c r="AF27" i="31" s="1"/>
  <c r="AG27" i="31" s="1"/>
  <c r="AG35" i="31"/>
  <c r="AI35" i="31" s="1"/>
  <c r="X29" i="31"/>
  <c r="AO28" i="31" s="1"/>
  <c r="AP28" i="31" s="1"/>
  <c r="AG34" i="31"/>
  <c r="AH34" i="31" s="1"/>
  <c r="AI34" i="31" s="1"/>
  <c r="AF167" i="28"/>
  <c r="AF168" i="31"/>
  <c r="AG165" i="28"/>
  <c r="W165" i="31"/>
  <c r="AF165" i="31"/>
  <c r="U165" i="31"/>
  <c r="AG165" i="31"/>
  <c r="M6" i="31"/>
  <c r="N201" i="29"/>
  <c r="M201" i="29"/>
  <c r="U167" i="28"/>
  <c r="V167" i="28"/>
  <c r="W167" i="28"/>
  <c r="AF188" i="28"/>
  <c r="V188" i="28"/>
  <c r="W188" i="28"/>
  <c r="AN215" i="33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V169" i="28"/>
  <c r="AG194" i="31"/>
  <c r="W187" i="31"/>
  <c r="V186" i="31"/>
  <c r="AJ202" i="31"/>
  <c r="AD172" i="28"/>
  <c r="AH172" i="28" s="1"/>
  <c r="AG169" i="28"/>
  <c r="AI179" i="31"/>
  <c r="W179" i="31"/>
  <c r="U178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Z201" i="29"/>
  <c r="AG183" i="28"/>
  <c r="W173" i="28"/>
  <c r="AF166" i="28"/>
  <c r="AJ184" i="31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D165" i="31"/>
  <c r="AI165" i="31" s="1"/>
  <c r="AD177" i="28"/>
  <c r="AH177" i="28" s="1"/>
  <c r="AD184" i="28"/>
  <c r="AH184" i="28" s="1"/>
  <c r="V206" i="28"/>
  <c r="AF206" i="28"/>
  <c r="W180" i="28"/>
  <c r="W172" i="28"/>
  <c r="AG166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AI187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F194" i="28"/>
  <c r="W170" i="28"/>
  <c r="AG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CC83" i="30" s="1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BA84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4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4" i="30" s="1"/>
  <c r="CO71" i="30"/>
  <c r="CO84" i="30" s="1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I166" i="31"/>
  <c r="DV117" i="30"/>
  <c r="X7" i="30" s="1"/>
  <c r="DC114" i="30"/>
  <c r="DC79" i="30"/>
  <c r="BZ109" i="30"/>
  <c r="BZ74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I171" i="31"/>
  <c r="M111" i="31"/>
  <c r="J111" i="31" s="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G198" i="31"/>
  <c r="V198" i="31"/>
  <c r="AF198" i="31"/>
  <c r="U198" i="3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V203" i="28"/>
  <c r="AJ203" i="28"/>
  <c r="U187" i="28"/>
  <c r="W187" i="28"/>
  <c r="V187" i="28"/>
  <c r="AI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I190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11" i="29" l="1"/>
  <c r="C13" i="29" s="1"/>
  <c r="C201" i="29"/>
  <c r="C212" i="29" s="1"/>
  <c r="AJ198" i="31"/>
  <c r="AJ197" i="31"/>
  <c r="AJ198" i="28"/>
  <c r="F72" i="30"/>
  <c r="B109" i="30" s="1"/>
  <c r="B112" i="30" s="1"/>
  <c r="BD81" i="30"/>
  <c r="BD85" i="30" s="1"/>
  <c r="AJ171" i="28"/>
  <c r="AJ171" i="31"/>
  <c r="BB81" i="30"/>
  <c r="B52" i="30"/>
  <c r="C52" i="30" s="1"/>
  <c r="F52" i="30" s="1"/>
  <c r="C264" i="33" s="1"/>
  <c r="AI170" i="28"/>
  <c r="AI170" i="31"/>
  <c r="CS84" i="30"/>
  <c r="CR82" i="30"/>
  <c r="BB84" i="30"/>
  <c r="BD82" i="30"/>
  <c r="BA81" i="30"/>
  <c r="CC84" i="30"/>
  <c r="AO27" i="31"/>
  <c r="AP27" i="31" s="1"/>
  <c r="CI81" i="30"/>
  <c r="CI85" i="30" s="1"/>
  <c r="CI83" i="30"/>
  <c r="BA82" i="30"/>
  <c r="BA83" i="30"/>
  <c r="AI188" i="31"/>
  <c r="AI188" i="28"/>
  <c r="CF82" i="30"/>
  <c r="CF84" i="30"/>
  <c r="CF81" i="30"/>
  <c r="CF85" i="30" s="1"/>
  <c r="CC82" i="30"/>
  <c r="CI82" i="30"/>
  <c r="CC81" i="30"/>
  <c r="CC85" i="30" s="1"/>
  <c r="AI169" i="28"/>
  <c r="AH169" i="31"/>
  <c r="AI169" i="31"/>
  <c r="AJ166" i="31"/>
  <c r="AI165" i="28"/>
  <c r="AI189" i="28"/>
  <c r="AI173" i="28"/>
  <c r="AH166" i="28"/>
  <c r="AJ166" i="28"/>
  <c r="AI164" i="28"/>
  <c r="AI164" i="31"/>
  <c r="AI189" i="31"/>
  <c r="AI186" i="28"/>
  <c r="AJ199" i="31"/>
  <c r="AJ199" i="28"/>
  <c r="AI198" i="31"/>
  <c r="AJ195" i="28"/>
  <c r="AI194" i="31"/>
  <c r="AI194" i="28"/>
  <c r="AH173" i="31"/>
  <c r="AI173" i="31"/>
  <c r="CM83" i="30"/>
  <c r="CM84" i="30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BG85" i="30"/>
  <c r="BH85" i="30"/>
  <c r="DK85" i="30"/>
  <c r="DP85" i="30"/>
  <c r="F7" i="30"/>
  <c r="C247" i="33" s="1"/>
  <c r="CJ85" i="30"/>
  <c r="DI85" i="30"/>
  <c r="DE85" i="30"/>
  <c r="DN85" i="30"/>
  <c r="DV85" i="30"/>
  <c r="DU85" i="30"/>
  <c r="BJ85" i="30"/>
  <c r="AO165" i="31"/>
  <c r="C78" i="33" s="1"/>
  <c r="BL85" i="30"/>
  <c r="EA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Q43" i="29" s="1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191" i="33" l="1"/>
  <c r="D191" i="33" s="1"/>
  <c r="K48" i="28"/>
  <c r="BA85" i="30"/>
  <c r="CQ85" i="30"/>
  <c r="C71" i="33"/>
  <c r="C74" i="33" s="1"/>
  <c r="CM85" i="30"/>
  <c r="CM87" i="30" s="1"/>
  <c r="CR85" i="30"/>
  <c r="CR86" i="30" s="1"/>
  <c r="BC85" i="30"/>
  <c r="BC87" i="30" s="1"/>
  <c r="AA240" i="31"/>
  <c r="AB240" i="31" s="1"/>
  <c r="C310" i="33"/>
  <c r="C304" i="33"/>
  <c r="AQ3" i="29"/>
  <c r="C305" i="33"/>
  <c r="L64" i="29"/>
  <c r="CR87" i="30"/>
  <c r="CM86" i="30"/>
  <c r="CJ87" i="30"/>
  <c r="CJ86" i="30"/>
  <c r="CX86" i="30"/>
  <c r="CX87" i="30"/>
  <c r="CN85" i="30"/>
  <c r="CG87" i="30"/>
  <c r="CG86" i="30"/>
  <c r="CI87" i="30"/>
  <c r="CI86" i="30"/>
  <c r="CE87" i="30"/>
  <c r="CE86" i="30"/>
  <c r="CF87" i="30"/>
  <c r="CF86" i="30"/>
  <c r="CD87" i="30"/>
  <c r="CD86" i="30"/>
  <c r="CB86" i="30"/>
  <c r="CB87" i="30"/>
  <c r="CP87" i="30"/>
  <c r="CP86" i="30"/>
  <c r="CU86" i="30"/>
  <c r="CU87" i="30"/>
  <c r="CV86" i="30"/>
  <c r="CV87" i="30"/>
  <c r="CL86" i="30"/>
  <c r="CL87" i="30"/>
  <c r="CC87" i="30"/>
  <c r="CC86" i="30"/>
  <c r="CQ87" i="30"/>
  <c r="CQ86" i="30"/>
  <c r="CY87" i="30"/>
  <c r="CY86" i="30"/>
  <c r="BC86" i="30"/>
  <c r="BE86" i="30"/>
  <c r="BE87" i="30"/>
  <c r="AX87" i="30"/>
  <c r="AX86" i="30"/>
  <c r="BG87" i="30"/>
  <c r="BG86" i="30"/>
  <c r="AY87" i="30"/>
  <c r="AY86" i="30"/>
  <c r="AW87" i="30"/>
  <c r="AW86" i="30"/>
  <c r="BK87" i="30"/>
  <c r="BK86" i="30"/>
  <c r="BD86" i="30"/>
  <c r="BD87" i="30"/>
  <c r="BM86" i="30"/>
  <c r="BM87" i="30"/>
  <c r="AV86" i="30"/>
  <c r="AV87" i="30"/>
  <c r="BB86" i="30"/>
  <c r="BB87" i="30"/>
  <c r="AZ87" i="30"/>
  <c r="AZ86" i="30"/>
  <c r="BA87" i="30"/>
  <c r="BA86" i="30"/>
  <c r="BI87" i="30"/>
  <c r="BI86" i="30"/>
  <c r="BH86" i="30"/>
  <c r="BH87" i="30"/>
  <c r="BF86" i="30"/>
  <c r="BF87" i="30"/>
  <c r="BJ86" i="30"/>
  <c r="BJ87" i="30"/>
  <c r="BL87" i="30"/>
  <c r="BL86" i="30"/>
  <c r="BN86" i="30"/>
  <c r="BN87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D262" i="33"/>
  <c r="D24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AC240" i="31"/>
  <c r="AF240" i="31" s="1"/>
  <c r="CH87" i="30"/>
  <c r="CH86" i="30"/>
  <c r="CT86" i="30"/>
  <c r="CT87" i="30"/>
  <c r="CW87" i="30"/>
  <c r="CW86" i="30"/>
  <c r="CS87" i="30"/>
  <c r="CS86" i="30"/>
  <c r="CO87" i="30"/>
  <c r="CO86" i="30"/>
  <c r="CK86" i="30"/>
  <c r="CK87" i="30"/>
  <c r="CN87" i="30"/>
  <c r="CN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DE102" i="30"/>
  <c r="G11" i="30" s="1"/>
  <c r="BG102" i="30"/>
  <c r="R9" i="30" s="1"/>
  <c r="CF102" i="30"/>
  <c r="K10" i="30" s="1"/>
  <c r="CB102" i="30"/>
  <c r="G10" i="30" s="1"/>
  <c r="CL102" i="30"/>
  <c r="Q10" i="30" s="1"/>
  <c r="CP102" i="30"/>
  <c r="U10" i="30" s="1"/>
  <c r="BM102" i="30"/>
  <c r="X9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N102" i="30" l="1"/>
  <c r="S10" i="30" s="1"/>
  <c r="CS102" i="30"/>
  <c r="X10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B108" i="30"/>
  <c r="B123" i="30" s="1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CF153" i="33" l="1"/>
  <c r="CB152" i="33"/>
  <c r="CJ152" i="33"/>
  <c r="CD153" i="33"/>
  <c r="CH152" i="33"/>
  <c r="CE152" i="33"/>
  <c r="CY152" i="33"/>
  <c r="CI152" i="33"/>
  <c r="CK152" i="33"/>
  <c r="CC152" i="33"/>
  <c r="BO153" i="33"/>
  <c r="BP153" i="33"/>
  <c r="CG152" i="33"/>
  <c r="CD152" i="33"/>
  <c r="CG153" i="33"/>
  <c r="CE153" i="33"/>
  <c r="CF152" i="33"/>
  <c r="CX152" i="33"/>
  <c r="X27" i="24" l="1"/>
  <c r="W27" i="24"/>
  <c r="V27" i="24"/>
  <c r="U27" i="24"/>
  <c r="T27" i="24"/>
  <c r="J27" i="24"/>
  <c r="I27" i="24"/>
  <c r="H27" i="24"/>
  <c r="G27" i="24"/>
  <c r="B27" i="24"/>
  <c r="Y27" i="24"/>
  <c r="BS4" i="30" l="1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Q15" i="30" l="1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P117" i="30" l="1"/>
  <c r="AA5" i="30" s="1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6" i="30" l="1"/>
  <c r="BP87" i="30"/>
  <c r="C18" i="29"/>
  <c r="C22" i="29" s="1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O18" i="29"/>
  <c r="M18" i="29"/>
  <c r="W18" i="29"/>
  <c r="E18" i="29"/>
  <c r="N18" i="29"/>
  <c r="I18" i="29"/>
  <c r="I180" i="29" s="1"/>
  <c r="I195" i="29" s="1"/>
  <c r="M75" i="30" s="1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S86" i="30" l="1"/>
  <c r="BS87" i="30"/>
  <c r="BQ87" i="30"/>
  <c r="BQ86" i="30"/>
  <c r="BR86" i="30"/>
  <c r="BR87" i="30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7" i="30"/>
  <c r="BO86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X236" i="31"/>
  <c r="C309" i="33" s="1"/>
  <c r="T275" i="31"/>
  <c r="X275" i="31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T245" i="31"/>
  <c r="F76" i="30"/>
  <c r="F75" i="30"/>
  <c r="AH47" i="31"/>
  <c r="AH69" i="31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7" i="33" l="1"/>
  <c r="D277" i="33" s="1"/>
  <c r="C193" i="33"/>
  <c r="D193" i="33" s="1"/>
  <c r="C278" i="33"/>
  <c r="B113" i="30"/>
  <c r="B125" i="30" s="1"/>
  <c r="X245" i="31"/>
  <c r="C189" i="33"/>
  <c r="D189" i="33" s="1"/>
  <c r="AK189" i="33" s="1"/>
  <c r="AO189" i="33" s="1"/>
  <c r="AO192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J141" i="31" l="1"/>
  <c r="C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D124" i="31" s="1"/>
  <c r="J124" i="31" s="1"/>
  <c r="A123" i="31"/>
  <c r="D123" i="31" s="1"/>
  <c r="J123" i="31" s="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162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F176" i="24" s="1"/>
  <c r="J100" i="24"/>
  <c r="J111" i="24" s="1"/>
  <c r="N100" i="24"/>
  <c r="N111" i="24" s="1"/>
  <c r="N137" i="24" s="1"/>
  <c r="N150" i="24" s="1"/>
  <c r="N163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E172" i="24"/>
  <c r="E215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162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62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E176" i="24" s="1"/>
  <c r="E185" i="24" s="1"/>
  <c r="E216" i="24" s="1"/>
  <c r="F138" i="24"/>
  <c r="F151" i="24" s="1"/>
  <c r="P120" i="24"/>
  <c r="P136" i="24"/>
  <c r="P149" i="24" s="1"/>
  <c r="P162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75" i="24" s="1"/>
  <c r="Q185" i="24" s="1"/>
  <c r="Q216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D17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175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162" i="24" s="1"/>
  <c r="N172" i="24" s="1"/>
  <c r="N215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M172" i="24" l="1"/>
  <c r="M215" i="24" s="1"/>
  <c r="R185" i="24"/>
  <c r="R216" i="24" s="1"/>
  <c r="O172" i="24"/>
  <c r="O215" i="24" s="1"/>
  <c r="P172" i="24"/>
  <c r="P215" i="24" s="1"/>
  <c r="P201" i="24"/>
  <c r="P211" i="24" s="1"/>
  <c r="P218" i="24" s="1"/>
  <c r="Q201" i="24"/>
  <c r="Q211" i="24" s="1"/>
  <c r="Q218" i="24" s="1"/>
  <c r="M201" i="24"/>
  <c r="M211" i="24" s="1"/>
  <c r="M218" i="24" s="1"/>
  <c r="N201" i="24"/>
  <c r="N211" i="24" s="1"/>
  <c r="N218" i="24" s="1"/>
  <c r="R201" i="24"/>
  <c r="R211" i="24" s="1"/>
  <c r="R218" i="24" s="1"/>
  <c r="O201" i="24"/>
  <c r="O211" i="24" s="1"/>
  <c r="O218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D185" i="24"/>
  <c r="D216" i="24" s="1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172" i="24" l="1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Z38" i="31" s="1"/>
  <c r="C75" i="33"/>
  <c r="B154" i="3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J36" i="31" l="1"/>
  <c r="AJ40" i="31" s="1"/>
  <c r="B149" i="31"/>
  <c r="J149" i="31" s="1"/>
  <c r="B155" i="31"/>
  <c r="I155" i="31" s="1"/>
  <c r="J154" i="31"/>
  <c r="C227" i="33" s="1"/>
  <c r="C97" i="33"/>
  <c r="C81" i="33"/>
  <c r="Z39" i="31"/>
  <c r="B42" i="31"/>
  <c r="S18" i="3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B40" i="31" l="1"/>
  <c r="AD40" i="31" s="1"/>
  <c r="AE40" i="31" s="1"/>
  <c r="AB38" i="31"/>
  <c r="C82" i="33"/>
  <c r="B43" i="31"/>
  <c r="J43" i="31" s="1"/>
  <c r="C207" i="33" s="1"/>
  <c r="AB39" i="31"/>
  <c r="J42" i="31"/>
  <c r="C206" i="33" s="1"/>
  <c r="B44" i="31"/>
  <c r="J44" i="31" s="1"/>
  <c r="C208" i="33" s="1"/>
  <c r="C222" i="33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81" i="33" l="1"/>
  <c r="J205" i="33" s="1"/>
  <c r="L205" i="33" s="1"/>
  <c r="AA49" i="18"/>
  <c r="D159" i="33"/>
  <c r="D208" i="33"/>
  <c r="D206" i="33"/>
  <c r="D153" i="33"/>
  <c r="D171" i="33"/>
  <c r="D97" i="33"/>
  <c r="D227" i="33"/>
  <c r="D222" i="33"/>
  <c r="D230" i="33"/>
  <c r="D65" i="33"/>
  <c r="J193" i="33" s="1"/>
  <c r="J194" i="33" s="1"/>
  <c r="J218" i="33"/>
  <c r="D140" i="33"/>
  <c r="D168" i="33"/>
  <c r="D96" i="33"/>
  <c r="D232" i="33"/>
  <c r="D229" i="33"/>
  <c r="D205" i="33"/>
  <c r="D64" i="33"/>
  <c r="Q193" i="33" s="1"/>
  <c r="Q194" i="33" s="1"/>
  <c r="D63" i="33"/>
  <c r="D80" i="33"/>
  <c r="J206" i="33" s="1"/>
  <c r="L206" i="33" s="1"/>
  <c r="D215" i="33"/>
  <c r="D89" i="33"/>
  <c r="K262" i="33" s="1"/>
  <c r="D79" i="33"/>
  <c r="D88" i="33"/>
  <c r="K261" i="33" s="1"/>
  <c r="D76" i="33"/>
  <c r="G63" i="33"/>
  <c r="D66" i="33"/>
  <c r="D141" i="33"/>
  <c r="J217" i="33"/>
  <c r="D226" i="33"/>
  <c r="D73" i="33"/>
  <c r="K255" i="33" s="1"/>
  <c r="D87" i="33"/>
  <c r="K260" i="33" s="1"/>
  <c r="D163" i="33"/>
  <c r="D92" i="33"/>
  <c r="D200" i="33"/>
  <c r="D147" i="33"/>
  <c r="D150" i="33"/>
  <c r="D95" i="33"/>
  <c r="D94" i="33"/>
  <c r="D78" i="33"/>
  <c r="D74" i="33"/>
  <c r="D198" i="33"/>
  <c r="D233" i="33"/>
  <c r="D86" i="33"/>
  <c r="K259" i="33" s="1"/>
  <c r="D213" i="33"/>
  <c r="L223" i="33"/>
  <c r="AJ198" i="33" s="1"/>
  <c r="D167" i="33"/>
  <c r="D93" i="33"/>
  <c r="D77" i="33"/>
  <c r="D85" i="33"/>
  <c r="K258" i="33" s="1"/>
  <c r="L224" i="33"/>
  <c r="D72" i="33"/>
  <c r="D71" i="33"/>
  <c r="D228" i="33"/>
  <c r="D196" i="33"/>
  <c r="J216" i="33"/>
  <c r="D139" i="33"/>
  <c r="D90" i="33"/>
  <c r="K254" i="33" s="1"/>
  <c r="D91" i="33"/>
  <c r="D204" i="33"/>
  <c r="D164" i="33"/>
  <c r="L225" i="33"/>
  <c r="D146" i="33"/>
  <c r="D231" i="33"/>
  <c r="D219" i="33"/>
  <c r="D69" i="33"/>
  <c r="D68" i="33"/>
  <c r="D217" i="33"/>
  <c r="D165" i="33"/>
  <c r="D166" i="33"/>
  <c r="D75" i="33"/>
  <c r="D156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J221" i="33" s="1"/>
  <c r="L210" i="33" s="1"/>
  <c r="K256" i="33"/>
  <c r="K257" i="33"/>
  <c r="L259" i="33"/>
  <c r="D268" i="33" s="1"/>
  <c r="W193" i="33"/>
  <c r="W194" i="33" s="1"/>
  <c r="AP198" i="33"/>
  <c r="I200" i="33"/>
  <c r="J200" i="33" s="1"/>
  <c r="I198" i="33"/>
  <c r="J198" i="33" s="1"/>
  <c r="I199" i="33"/>
  <c r="J199" i="33" s="1"/>
  <c r="L260" i="33"/>
  <c r="D269" i="33" s="1"/>
  <c r="L261" i="33"/>
  <c r="D270" i="33" s="1"/>
  <c r="L254" i="33"/>
  <c r="D263" i="33" s="1"/>
  <c r="DJ73" i="33"/>
  <c r="DJ85" i="33" s="1"/>
  <c r="CM72" i="33"/>
  <c r="CM84" i="33" s="1"/>
  <c r="DX66" i="33"/>
  <c r="DX77" i="33" s="1"/>
  <c r="DJ71" i="33"/>
  <c r="DJ82" i="33" s="1"/>
  <c r="CM70" i="33"/>
  <c r="CM81" i="33" s="1"/>
  <c r="DX64" i="33"/>
  <c r="DX75" i="33" s="1"/>
  <c r="DJ69" i="33"/>
  <c r="DJ80" i="33" s="1"/>
  <c r="DR68" i="33"/>
  <c r="DR79" i="33" s="1"/>
  <c r="DM72" i="33"/>
  <c r="DM84" i="33" s="1"/>
  <c r="CX71" i="33"/>
  <c r="CX82" i="33" s="1"/>
  <c r="CB64" i="33"/>
  <c r="EA64" i="33"/>
  <c r="EA75" i="33" s="1"/>
  <c r="DE69" i="33"/>
  <c r="DE80" i="33" s="1"/>
  <c r="DP73" i="33"/>
  <c r="DP85" i="33" s="1"/>
  <c r="CS72" i="33"/>
  <c r="CS84" i="33" s="1"/>
  <c r="DE67" i="33"/>
  <c r="DE78" i="33" s="1"/>
  <c r="DP71" i="33"/>
  <c r="DP82" i="33" s="1"/>
  <c r="DX70" i="33"/>
  <c r="DX81" i="33" s="1"/>
  <c r="CB70" i="33"/>
  <c r="CB81" i="33" s="1"/>
  <c r="DE64" i="33"/>
  <c r="DE75" i="33" s="1"/>
  <c r="CP66" i="33"/>
  <c r="CP77" i="33" s="1"/>
  <c r="DZ65" i="33"/>
  <c r="DZ76" i="33" s="1"/>
  <c r="DL70" i="33"/>
  <c r="DL81" i="33" s="1"/>
  <c r="CO69" i="33"/>
  <c r="CO80" i="33" s="1"/>
  <c r="CR73" i="33"/>
  <c r="CR85" i="33" s="1"/>
  <c r="DL68" i="33"/>
  <c r="DL79" i="33" s="1"/>
  <c r="DO72" i="33"/>
  <c r="DO84" i="33" s="1"/>
  <c r="DW71" i="33"/>
  <c r="DW82" i="33" s="1"/>
  <c r="CI71" i="33"/>
  <c r="CI82" i="33" s="1"/>
  <c r="DL65" i="33"/>
  <c r="DL76" i="33" s="1"/>
  <c r="CO67" i="33"/>
  <c r="CO78" i="33" s="1"/>
  <c r="DU69" i="33"/>
  <c r="DU80" i="33" s="1"/>
  <c r="DG72" i="33"/>
  <c r="DG84" i="33" s="1"/>
  <c r="CG67" i="33"/>
  <c r="CG78" i="33" s="1"/>
  <c r="CO71" i="33"/>
  <c r="CO82" i="33" s="1"/>
  <c r="BB69" i="33"/>
  <c r="BB80" i="33" s="1"/>
  <c r="CV66" i="33"/>
  <c r="CV77" i="33" s="1"/>
  <c r="BA66" i="33"/>
  <c r="BH72" i="33"/>
  <c r="BH84" i="33" s="1"/>
  <c r="CB68" i="33"/>
  <c r="CB79" i="33" s="1"/>
  <c r="BG67" i="33"/>
  <c r="BG78" i="33" s="1"/>
  <c r="DK64" i="33"/>
  <c r="DK75" i="33" s="1"/>
  <c r="DN66" i="33"/>
  <c r="DN77" i="33" s="1"/>
  <c r="CN73" i="33"/>
  <c r="CN85" i="33" s="1"/>
  <c r="BK65" i="33"/>
  <c r="BK76" i="33" s="1"/>
  <c r="BJ71" i="33"/>
  <c r="BJ82" i="33" s="1"/>
  <c r="CU67" i="33"/>
  <c r="CU78" i="33" s="1"/>
  <c r="BA67" i="33"/>
  <c r="CW64" i="33"/>
  <c r="AZ64" i="33"/>
  <c r="CU72" i="33"/>
  <c r="CU84" i="33" s="1"/>
  <c r="DG65" i="33"/>
  <c r="DG76" i="33" s="1"/>
  <c r="CG72" i="33"/>
  <c r="CG84" i="33" s="1"/>
  <c r="BC65" i="33"/>
  <c r="BB71" i="33"/>
  <c r="BB82" i="33" s="1"/>
  <c r="CT68" i="33"/>
  <c r="CT79" i="33" s="1"/>
  <c r="BA68" i="33"/>
  <c r="BA79" i="33" s="1"/>
  <c r="CV65" i="33"/>
  <c r="AZ65" i="33"/>
  <c r="AY72" i="33"/>
  <c r="AY84" i="33" s="1"/>
  <c r="CJ67" i="33"/>
  <c r="CJ78" i="33" s="1"/>
  <c r="BS73" i="33"/>
  <c r="BS85" i="33" s="1"/>
  <c r="BA65" i="33"/>
  <c r="BG66" i="33"/>
  <c r="BF67" i="33"/>
  <c r="BF78" i="33" s="1"/>
  <c r="CL64" i="33"/>
  <c r="CL75" i="33" s="1"/>
  <c r="DS73" i="33"/>
  <c r="DS85" i="33" s="1"/>
  <c r="BL70" i="33"/>
  <c r="BL81" i="33" s="1"/>
  <c r="DK69" i="33"/>
  <c r="DK80" i="33" s="1"/>
  <c r="CJ71" i="33"/>
  <c r="CJ82" i="33" s="1"/>
  <c r="BO73" i="33"/>
  <c r="BO85" i="33" s="1"/>
  <c r="BN69" i="33"/>
  <c r="BN80" i="33" s="1"/>
  <c r="CR66" i="33"/>
  <c r="CR77" i="33" s="1"/>
  <c r="AW66" i="33"/>
  <c r="AV73" i="33"/>
  <c r="AV85" i="33" s="1"/>
  <c r="DK70" i="33"/>
  <c r="DK81" i="33" s="1"/>
  <c r="CL68" i="33"/>
  <c r="CL79" i="33" s="1"/>
  <c r="EB71" i="33"/>
  <c r="EB82" i="33" s="1"/>
  <c r="CF71" i="33"/>
  <c r="CF82" i="33" s="1"/>
  <c r="DQ65" i="33"/>
  <c r="DQ76" i="33" s="1"/>
  <c r="EB69" i="33"/>
  <c r="EB80" i="33" s="1"/>
  <c r="CF69" i="33"/>
  <c r="CF80" i="33" s="1"/>
  <c r="CQ73" i="33"/>
  <c r="CQ85" i="33" s="1"/>
  <c r="EB67" i="33"/>
  <c r="EB78" i="33" s="1"/>
  <c r="DK67" i="33"/>
  <c r="DK78" i="33" s="1"/>
  <c r="DF71" i="33"/>
  <c r="DF82" i="33" s="1"/>
  <c r="CQ70" i="33"/>
  <c r="CQ81" i="33" s="1"/>
  <c r="BS72" i="33"/>
  <c r="BS84" i="33" s="1"/>
  <c r="CL73" i="33"/>
  <c r="CL85" i="33" s="1"/>
  <c r="DW67" i="33"/>
  <c r="DW78" i="33" s="1"/>
  <c r="DI72" i="33"/>
  <c r="DI84" i="33" s="1"/>
  <c r="CL71" i="33"/>
  <c r="CL82" i="33" s="1"/>
  <c r="DW65" i="33"/>
  <c r="DW76" i="33" s="1"/>
  <c r="DI70" i="33"/>
  <c r="DI81" i="33" s="1"/>
  <c r="DQ69" i="33"/>
  <c r="DQ80" i="33" s="1"/>
  <c r="DT73" i="33"/>
  <c r="DT85" i="33" s="1"/>
  <c r="CW72" i="33"/>
  <c r="CW84" i="33" s="1"/>
  <c r="CI65" i="33"/>
  <c r="CI76" i="33" s="1"/>
  <c r="DS64" i="33"/>
  <c r="DS75" i="33" s="1"/>
  <c r="DV68" i="33"/>
  <c r="DV79" i="33" s="1"/>
  <c r="DH73" i="33"/>
  <c r="DH85" i="33" s="1"/>
  <c r="CK72" i="33"/>
  <c r="CK84" i="33" s="1"/>
  <c r="DV66" i="33"/>
  <c r="DV77" i="33" s="1"/>
  <c r="DH71" i="33"/>
  <c r="DH82" i="33" s="1"/>
  <c r="DP70" i="33"/>
  <c r="DP81" i="33" s="1"/>
  <c r="CS69" i="33"/>
  <c r="CS80" i="33" s="1"/>
  <c r="CV73" i="33"/>
  <c r="CV85" i="33" s="1"/>
  <c r="CH66" i="33"/>
  <c r="CH77" i="33" s="1"/>
  <c r="DR64" i="33"/>
  <c r="DR75" i="33" s="1"/>
  <c r="DU66" i="33"/>
  <c r="DU77" i="33" s="1"/>
  <c r="BC73" i="33"/>
  <c r="BC85" i="33" s="1"/>
  <c r="CM68" i="33"/>
  <c r="CM79" i="33" s="1"/>
  <c r="BR67" i="33"/>
  <c r="CO65" i="33"/>
  <c r="CO76" i="33" s="1"/>
  <c r="DN70" i="33"/>
  <c r="DN81" i="33" s="1"/>
  <c r="AZ71" i="33"/>
  <c r="AZ82" i="33" s="1"/>
  <c r="CT66" i="33"/>
  <c r="CT77" i="33" s="1"/>
  <c r="AY66" i="33"/>
  <c r="DY73" i="33"/>
  <c r="DY85" i="33" s="1"/>
  <c r="CC71" i="33"/>
  <c r="CC82" i="33" s="1"/>
  <c r="DG69" i="33"/>
  <c r="DG80" i="33" s="1"/>
  <c r="BC64" i="33"/>
  <c r="BB70" i="33"/>
  <c r="BB81" i="33" s="1"/>
  <c r="CN66" i="33"/>
  <c r="CN77" i="33" s="1"/>
  <c r="BQ65" i="33"/>
  <c r="BH73" i="33"/>
  <c r="BH85" i="33" s="1"/>
  <c r="DJ66" i="33"/>
  <c r="DJ77" i="33" s="1"/>
  <c r="DR72" i="33"/>
  <c r="DR84" i="33" s="1"/>
  <c r="CU69" i="33"/>
  <c r="CU80" i="33" s="1"/>
  <c r="CR71" i="33"/>
  <c r="CR82" i="33" s="1"/>
  <c r="CX73" i="33"/>
  <c r="CX85" i="33" s="1"/>
  <c r="BR69" i="33"/>
  <c r="BR80" i="33" s="1"/>
  <c r="CM67" i="33"/>
  <c r="CM78" i="33" s="1"/>
  <c r="BQ66" i="33"/>
  <c r="CO64" i="33"/>
  <c r="CO75" i="33" s="1"/>
  <c r="DL72" i="33"/>
  <c r="DL84" i="33" s="1"/>
  <c r="BO70" i="33"/>
  <c r="BO81" i="33" s="1"/>
  <c r="CC66" i="33"/>
  <c r="BK67" i="33"/>
  <c r="BK78" i="33" s="1"/>
  <c r="CC68" i="33"/>
  <c r="CC79" i="33" s="1"/>
  <c r="CH73" i="33"/>
  <c r="CH85" i="33" s="1"/>
  <c r="AX66" i="33"/>
  <c r="AW73" i="33"/>
  <c r="AW85" i="33" s="1"/>
  <c r="DS65" i="33"/>
  <c r="DS76" i="33" s="1"/>
  <c r="BD69" i="33"/>
  <c r="BD80" i="33" s="1"/>
  <c r="DV72" i="33"/>
  <c r="DV84" i="33" s="1"/>
  <c r="CP64" i="33"/>
  <c r="CP75" i="33" s="1"/>
  <c r="AY71" i="33"/>
  <c r="AY82" i="33" s="1"/>
  <c r="BF68" i="33"/>
  <c r="BF79" i="33" s="1"/>
  <c r="CK65" i="33"/>
  <c r="CK76" i="33" s="1"/>
  <c r="BM64" i="33"/>
  <c r="BM75" i="33" s="1"/>
  <c r="BL71" i="33"/>
  <c r="BL82" i="33" s="1"/>
  <c r="CY73" i="33"/>
  <c r="CY85" i="33" s="1"/>
  <c r="BA73" i="33"/>
  <c r="BA85" i="33" s="1"/>
  <c r="BG70" i="33"/>
  <c r="BG81" i="33" s="1"/>
  <c r="BF69" i="33"/>
  <c r="BF80" i="33" s="1"/>
  <c r="CJ66" i="33"/>
  <c r="CJ77" i="33" s="1"/>
  <c r="BM65" i="33"/>
  <c r="BM76" i="33" s="1"/>
  <c r="BL72" i="33"/>
  <c r="BL84" i="33" s="1"/>
  <c r="CN68" i="33"/>
  <c r="CN79" i="33" s="1"/>
  <c r="CT64" i="33"/>
  <c r="DM70" i="33"/>
  <c r="DM81" i="33" s="1"/>
  <c r="CX69" i="33"/>
  <c r="CX80" i="33" s="1"/>
  <c r="DJ64" i="33"/>
  <c r="DJ75" i="33" s="1"/>
  <c r="DM68" i="33"/>
  <c r="DM79" i="33" s="1"/>
  <c r="DX72" i="33"/>
  <c r="DX84" i="33" s="1"/>
  <c r="CB72" i="33"/>
  <c r="CB84" i="33" s="1"/>
  <c r="DM66" i="33"/>
  <c r="DM77" i="33" s="1"/>
  <c r="DU65" i="33"/>
  <c r="DU76" i="33" s="1"/>
  <c r="DX69" i="33"/>
  <c r="DX80" i="33" s="1"/>
  <c r="CB69" i="33"/>
  <c r="CB80" i="33" s="1"/>
  <c r="EA72" i="33"/>
  <c r="EA84" i="33" s="1"/>
  <c r="CE72" i="33"/>
  <c r="CE84" i="33" s="1"/>
  <c r="DP66" i="33"/>
  <c r="DP77" i="33" s="1"/>
  <c r="EA70" i="33"/>
  <c r="EA81" i="33" s="1"/>
  <c r="CE70" i="33"/>
  <c r="CE81" i="33" s="1"/>
  <c r="DP64" i="33"/>
  <c r="DP75" i="33" s="1"/>
  <c r="EA68" i="33"/>
  <c r="EA79" i="33" s="1"/>
  <c r="DJ68" i="33"/>
  <c r="DJ79" i="33" s="1"/>
  <c r="DE72" i="33"/>
  <c r="DE84" i="33" s="1"/>
  <c r="CP71" i="33"/>
  <c r="CP82" i="33" s="1"/>
  <c r="DZ73" i="33"/>
  <c r="DZ85" i="33" s="1"/>
  <c r="CD73" i="33"/>
  <c r="CD85" i="33" s="1"/>
  <c r="DO67" i="33"/>
  <c r="DO78" i="33" s="1"/>
  <c r="DZ71" i="33"/>
  <c r="DZ82" i="33" s="1"/>
  <c r="CD71" i="33"/>
  <c r="CD82" i="33" s="1"/>
  <c r="DO65" i="33"/>
  <c r="DO76" i="33" s="1"/>
  <c r="DZ69" i="33"/>
  <c r="DZ80" i="33" s="1"/>
  <c r="DI69" i="33"/>
  <c r="DI80" i="33" s="1"/>
  <c r="DL73" i="33"/>
  <c r="DL85" i="33" s="1"/>
  <c r="CO72" i="33"/>
  <c r="CO84" i="33" s="1"/>
  <c r="CR64" i="33"/>
  <c r="CR75" i="33" s="1"/>
  <c r="CG69" i="33"/>
  <c r="CG80" i="33" s="1"/>
  <c r="DO71" i="33"/>
  <c r="DO82" i="33" s="1"/>
  <c r="BC71" i="33"/>
  <c r="BC82" i="33" s="1"/>
  <c r="CF67" i="33"/>
  <c r="CF78" i="33" s="1"/>
  <c r="BJ66" i="33"/>
  <c r="CH64" i="33"/>
  <c r="CP73" i="33"/>
  <c r="CP85" i="33" s="1"/>
  <c r="BP69" i="33"/>
  <c r="BP80" i="33" s="1"/>
  <c r="CM65" i="33"/>
  <c r="CM76" i="33" s="1"/>
  <c r="CF72" i="33"/>
  <c r="CF84" i="33" s="1"/>
  <c r="DN68" i="33"/>
  <c r="DN79" i="33" s="1"/>
  <c r="DY70" i="33"/>
  <c r="DY81" i="33" s="1"/>
  <c r="CY65" i="33"/>
  <c r="CY76" i="33" s="1"/>
  <c r="CK70" i="33"/>
  <c r="CK81" i="33" s="1"/>
  <c r="BR68" i="33"/>
  <c r="BR79" i="33" s="1"/>
  <c r="CG65" i="33"/>
  <c r="CG76" i="33" s="1"/>
  <c r="BI64" i="33"/>
  <c r="BI75" i="33" s="1"/>
  <c r="AZ72" i="33"/>
  <c r="AZ84" i="33" s="1"/>
  <c r="CB71" i="33"/>
  <c r="CB82" i="33" s="1"/>
  <c r="DG67" i="33"/>
  <c r="DG78" i="33" s="1"/>
  <c r="DR69" i="33"/>
  <c r="DR80" i="33" s="1"/>
  <c r="CJ64" i="33"/>
  <c r="CI69" i="33"/>
  <c r="CI80" i="33" s="1"/>
  <c r="BJ68" i="33"/>
  <c r="BJ79" i="33" s="1"/>
  <c r="CF66" i="33"/>
  <c r="CF77" i="33" s="1"/>
  <c r="BI65" i="33"/>
  <c r="BI76" i="33" s="1"/>
  <c r="AZ73" i="33"/>
  <c r="AZ85" i="33" s="1"/>
  <c r="DL64" i="33"/>
  <c r="DL75" i="33" s="1"/>
  <c r="BG69" i="33"/>
  <c r="BG80" i="33" s="1"/>
  <c r="CU64" i="33"/>
  <c r="CU68" i="33"/>
  <c r="CU79" i="33" s="1"/>
  <c r="BP72" i="33"/>
  <c r="BP84" i="33" s="1"/>
  <c r="CB67" i="33"/>
  <c r="CB78" i="33" s="1"/>
  <c r="BN64" i="33"/>
  <c r="BM71" i="33"/>
  <c r="BM82" i="33" s="1"/>
  <c r="CW68" i="33"/>
  <c r="CW79" i="33" s="1"/>
  <c r="AV68" i="33"/>
  <c r="AV79" i="33" s="1"/>
  <c r="DK66" i="33"/>
  <c r="DK77" i="33" s="1"/>
  <c r="BA69" i="33"/>
  <c r="BA80" i="33" s="1"/>
  <c r="BG68" i="33"/>
  <c r="BG79" i="33" s="1"/>
  <c r="AX67" i="33"/>
  <c r="CD64" i="33"/>
  <c r="DM71" i="33"/>
  <c r="DM82" i="33" s="1"/>
  <c r="BD70" i="33"/>
  <c r="BD81" i="33" s="1"/>
  <c r="DS67" i="33"/>
  <c r="DS78" i="33" s="1"/>
  <c r="BQ67" i="33"/>
  <c r="BO67" i="33"/>
  <c r="AX68" i="33"/>
  <c r="AX79" i="33" s="1"/>
  <c r="CC65" i="33"/>
  <c r="CC76" i="33" s="1"/>
  <c r="BE64" i="33"/>
  <c r="BD71" i="33"/>
  <c r="BD82" i="33" s="1"/>
  <c r="BJ69" i="33"/>
  <c r="BJ80" i="33" s="1"/>
  <c r="DF69" i="33"/>
  <c r="DF80" i="33" s="1"/>
  <c r="DQ73" i="33"/>
  <c r="DQ85" i="33" s="1"/>
  <c r="CT72" i="33"/>
  <c r="CT84" i="33" s="1"/>
  <c r="DF67" i="33"/>
  <c r="DF78" i="33" s="1"/>
  <c r="DQ71" i="33"/>
  <c r="DQ82" i="33" s="1"/>
  <c r="CT70" i="33"/>
  <c r="CT81" i="33" s="1"/>
  <c r="DF65" i="33"/>
  <c r="DF76" i="33" s="1"/>
  <c r="DN64" i="33"/>
  <c r="DN75" i="33" s="1"/>
  <c r="DQ68" i="33"/>
  <c r="DQ79" i="33" s="1"/>
  <c r="DI67" i="33"/>
  <c r="DI78" i="33" s="1"/>
  <c r="DT71" i="33"/>
  <c r="DT82" i="33" s="1"/>
  <c r="CW70" i="33"/>
  <c r="CW81" i="33" s="1"/>
  <c r="DI65" i="33"/>
  <c r="DI76" i="33" s="1"/>
  <c r="DT69" i="33"/>
  <c r="DT80" i="33" s="1"/>
  <c r="DW73" i="33"/>
  <c r="DW85" i="33" s="1"/>
  <c r="CI73" i="33"/>
  <c r="CI85" i="33" s="1"/>
  <c r="DT67" i="33"/>
  <c r="DT78" i="33" s="1"/>
  <c r="EB66" i="33"/>
  <c r="EB77" i="33" s="1"/>
  <c r="DW70" i="33"/>
  <c r="DW81" i="33" s="1"/>
  <c r="CI70" i="33"/>
  <c r="CI81" i="33" s="1"/>
  <c r="DS72" i="33"/>
  <c r="DS84" i="33" s="1"/>
  <c r="CV71" i="33"/>
  <c r="CV82" i="33" s="1"/>
  <c r="DH66" i="33"/>
  <c r="DH77" i="33" s="1"/>
  <c r="DS70" i="33"/>
  <c r="DS81" i="33" s="1"/>
  <c r="CV69" i="33"/>
  <c r="CV80" i="33" s="1"/>
  <c r="DH64" i="33"/>
  <c r="DH75" i="33" s="1"/>
  <c r="DS68" i="33"/>
  <c r="DS79" i="33" s="1"/>
  <c r="EA67" i="33"/>
  <c r="EA78" i="33" s="1"/>
  <c r="DV71" i="33"/>
  <c r="DV82" i="33" s="1"/>
  <c r="CH71" i="33"/>
  <c r="CH82" i="33" s="1"/>
  <c r="BK73" i="33"/>
  <c r="BK85" i="33" s="1"/>
  <c r="DU68" i="33"/>
  <c r="DU79" i="33" s="1"/>
  <c r="DL66" i="33"/>
  <c r="DL77" i="33" s="1"/>
  <c r="BS69" i="33"/>
  <c r="BS80" i="33" s="1"/>
  <c r="CX65" i="33"/>
  <c r="CX76" i="33" s="1"/>
  <c r="BB65" i="33"/>
  <c r="BQ72" i="33"/>
  <c r="BQ84" i="33" s="1"/>
  <c r="CC69" i="33"/>
  <c r="CC80" i="33" s="1"/>
  <c r="BH68" i="33"/>
  <c r="BH79" i="33" s="1"/>
  <c r="CF64" i="33"/>
  <c r="CI68" i="33"/>
  <c r="CI79" i="33" s="1"/>
  <c r="CC73" i="33"/>
  <c r="CC85" i="33" s="1"/>
  <c r="DN65" i="33"/>
  <c r="DN76" i="33" s="1"/>
  <c r="BK72" i="33"/>
  <c r="BK84" i="33" s="1"/>
  <c r="CE68" i="33"/>
  <c r="CE79" i="33" s="1"/>
  <c r="BJ67" i="33"/>
  <c r="BJ78" i="33" s="1"/>
  <c r="BQ73" i="33"/>
  <c r="BQ85" i="33" s="1"/>
  <c r="DP68" i="33"/>
  <c r="DP79" i="33" s="1"/>
  <c r="BP70" i="33"/>
  <c r="BP81" i="33" s="1"/>
  <c r="CS67" i="33"/>
  <c r="CS78" i="33" s="1"/>
  <c r="CU71" i="33"/>
  <c r="CU82" i="33" s="1"/>
  <c r="DG64" i="33"/>
  <c r="DG75" i="33" s="1"/>
  <c r="BS71" i="33"/>
  <c r="BS82" i="33" s="1"/>
  <c r="CV67" i="33"/>
  <c r="CV78" i="33" s="1"/>
  <c r="BB67" i="33"/>
  <c r="CX64" i="33"/>
  <c r="BA64" i="33"/>
  <c r="BP71" i="33"/>
  <c r="BP82" i="33" s="1"/>
  <c r="CR68" i="33"/>
  <c r="CR79" i="33" s="1"/>
  <c r="AY68" i="33"/>
  <c r="AY79" i="33" s="1"/>
  <c r="DK72" i="33"/>
  <c r="DK84" i="33" s="1"/>
  <c r="BJ73" i="33"/>
  <c r="BJ85" i="33" s="1"/>
  <c r="BH67" i="33"/>
  <c r="BH78" i="33" s="1"/>
  <c r="CM64" i="33"/>
  <c r="CM75" i="33" s="1"/>
  <c r="DU71" i="33"/>
  <c r="DU82" i="33" s="1"/>
  <c r="BE70" i="33"/>
  <c r="BE81" i="33" s="1"/>
  <c r="CP67" i="33"/>
  <c r="CP78" i="33" s="1"/>
  <c r="BL66" i="33"/>
  <c r="BK71" i="33"/>
  <c r="BK82" i="33" s="1"/>
  <c r="DT72" i="33"/>
  <c r="DT84" i="33" s="1"/>
  <c r="CY69" i="33"/>
  <c r="CY80" i="33" s="1"/>
  <c r="BN65" i="33"/>
  <c r="BN76" i="33" s="1"/>
  <c r="BM72" i="33"/>
  <c r="BM84" i="33" s="1"/>
  <c r="CW71" i="33"/>
  <c r="CW82" i="33" s="1"/>
  <c r="AV69" i="33"/>
  <c r="AV80" i="33" s="1"/>
  <c r="CY70" i="33"/>
  <c r="CY81" i="33" s="1"/>
  <c r="DT64" i="33"/>
  <c r="DT75" i="33" s="1"/>
  <c r="AY65" i="33"/>
  <c r="BN66" i="33"/>
  <c r="BM73" i="33"/>
  <c r="BM85" i="33" s="1"/>
  <c r="DO69" i="33"/>
  <c r="DO80" i="33" s="1"/>
  <c r="AV70" i="33"/>
  <c r="AV81" i="33" s="1"/>
  <c r="BI66" i="33"/>
  <c r="DJ65" i="33"/>
  <c r="DJ76" i="33" s="1"/>
  <c r="DM69" i="33"/>
  <c r="DM80" i="33" s="1"/>
  <c r="DX73" i="33"/>
  <c r="DX85" i="33" s="1"/>
  <c r="CB73" i="33"/>
  <c r="CB85" i="33" s="1"/>
  <c r="DM67" i="33"/>
  <c r="DM78" i="33" s="1"/>
  <c r="DX71" i="33"/>
  <c r="DX82" i="33" s="1"/>
  <c r="DG71" i="33"/>
  <c r="DG82" i="33" s="1"/>
  <c r="CJ70" i="33"/>
  <c r="CJ81" i="33" s="1"/>
  <c r="DM64" i="33"/>
  <c r="DM75" i="33" s="1"/>
  <c r="CX66" i="33"/>
  <c r="DP67" i="33"/>
  <c r="DP78" i="33" s="1"/>
  <c r="EA71" i="33"/>
  <c r="EA82" i="33" s="1"/>
  <c r="CE71" i="33"/>
  <c r="CE82" i="33" s="1"/>
  <c r="DP65" i="33"/>
  <c r="DP76" i="33" s="1"/>
  <c r="EA69" i="33"/>
  <c r="EA80" i="33" s="1"/>
  <c r="CE69" i="33"/>
  <c r="CE80" i="33" s="1"/>
  <c r="DM73" i="33"/>
  <c r="DM85" i="33" s="1"/>
  <c r="CX72" i="33"/>
  <c r="CX84" i="33" s="1"/>
  <c r="EA66" i="33"/>
  <c r="EA77" i="33" s="1"/>
  <c r="CL69" i="33"/>
  <c r="CL80" i="33" s="1"/>
  <c r="DO68" i="33"/>
  <c r="DO79" i="33" s="1"/>
  <c r="DZ72" i="33"/>
  <c r="DZ84" i="33" s="1"/>
  <c r="CD72" i="33"/>
  <c r="CD84" i="33" s="1"/>
  <c r="DO66" i="33"/>
  <c r="DO77" i="33" s="1"/>
  <c r="DZ70" i="33"/>
  <c r="DZ81" i="33" s="1"/>
  <c r="CD70" i="33"/>
  <c r="CD81" i="33" s="1"/>
  <c r="DO64" i="33"/>
  <c r="DO75" i="33" s="1"/>
  <c r="CW73" i="33"/>
  <c r="CW85" i="33" s="1"/>
  <c r="DZ67" i="33"/>
  <c r="DZ78" i="33" s="1"/>
  <c r="CY72" i="33"/>
  <c r="CY84" i="33" s="1"/>
  <c r="DR65" i="33"/>
  <c r="DR76" i="33" s="1"/>
  <c r="DU67" i="33"/>
  <c r="DU78" i="33" s="1"/>
  <c r="DU64" i="33"/>
  <c r="DU75" i="33" s="1"/>
  <c r="BS65" i="33"/>
  <c r="BR71" i="33"/>
  <c r="BR82" i="33" s="1"/>
  <c r="CH70" i="33"/>
  <c r="CH81" i="33" s="1"/>
  <c r="BQ68" i="33"/>
  <c r="BQ79" i="33" s="1"/>
  <c r="CF65" i="33"/>
  <c r="CF76" i="33" s="1"/>
  <c r="DH68" i="33"/>
  <c r="DH79" i="33" s="1"/>
  <c r="AY70" i="33"/>
  <c r="AY81" i="33" s="1"/>
  <c r="CE64" i="33"/>
  <c r="CC72" i="33"/>
  <c r="CC84" i="33" s="1"/>
  <c r="CK69" i="33"/>
  <c r="CK80" i="33" s="1"/>
  <c r="BC68" i="33"/>
  <c r="BC79" i="33" s="1"/>
  <c r="CI64" i="33"/>
  <c r="CU73" i="33"/>
  <c r="CU85" i="33" s="1"/>
  <c r="BQ69" i="33"/>
  <c r="BQ80" i="33" s="1"/>
  <c r="CL67" i="33"/>
  <c r="CL78" i="33" s="1"/>
  <c r="BP66" i="33"/>
  <c r="BP77" i="33" s="1"/>
  <c r="DR73" i="33"/>
  <c r="DR85" i="33" s="1"/>
  <c r="CU70" i="33"/>
  <c r="CU81" i="33" s="1"/>
  <c r="DU72" i="33"/>
  <c r="DU84" i="33" s="1"/>
  <c r="BS67" i="33"/>
  <c r="BR73" i="33"/>
  <c r="BR85" i="33" s="1"/>
  <c r="DX68" i="33"/>
  <c r="DX79" i="33" s="1"/>
  <c r="BQ70" i="33"/>
  <c r="BQ81" i="33" s="1"/>
  <c r="CK68" i="33"/>
  <c r="CK79" i="33" s="1"/>
  <c r="BP67" i="33"/>
  <c r="CV64" i="33"/>
  <c r="AY64" i="33"/>
  <c r="DK68" i="33"/>
  <c r="DK79" i="33" s="1"/>
  <c r="CW65" i="33"/>
  <c r="BO71" i="33"/>
  <c r="BO82" i="33" s="1"/>
  <c r="AX70" i="33"/>
  <c r="AX81" i="33" s="1"/>
  <c r="CI67" i="33"/>
  <c r="CI78" i="33" s="1"/>
  <c r="BE66" i="33"/>
  <c r="BD73" i="33"/>
  <c r="BD85" i="33" s="1"/>
  <c r="DY66" i="33"/>
  <c r="DY77" i="33" s="1"/>
  <c r="BB72" i="33"/>
  <c r="BB84" i="33" s="1"/>
  <c r="AZ66" i="33"/>
  <c r="BF72" i="33"/>
  <c r="BF84" i="33" s="1"/>
  <c r="CX70" i="33"/>
  <c r="CX81" i="33" s="1"/>
  <c r="BM68" i="33"/>
  <c r="BM79" i="33" s="1"/>
  <c r="CR65" i="33"/>
  <c r="CR76" i="33" s="1"/>
  <c r="AV65" i="33"/>
  <c r="BR70" i="33"/>
  <c r="BR81" i="33" s="1"/>
  <c r="BP64" i="33"/>
  <c r="BF73" i="33"/>
  <c r="BF85" i="33" s="1"/>
  <c r="DY67" i="33"/>
  <c r="DY78" i="33" s="1"/>
  <c r="BM69" i="33"/>
  <c r="BM80" i="33" s="1"/>
  <c r="CY66" i="33"/>
  <c r="AV66" i="33"/>
  <c r="AX73" i="33"/>
  <c r="AX85" i="33" s="1"/>
  <c r="DX67" i="33"/>
  <c r="DX78" i="33" s="1"/>
  <c r="DQ72" i="33"/>
  <c r="DQ84" i="33" s="1"/>
  <c r="DF73" i="33"/>
  <c r="DF85" i="33" s="1"/>
  <c r="DJ67" i="33"/>
  <c r="DJ78" i="33" s="1"/>
  <c r="DI66" i="33"/>
  <c r="DI77" i="33" s="1"/>
  <c r="DW66" i="33"/>
  <c r="DW77" i="33" s="1"/>
  <c r="DE66" i="33"/>
  <c r="DE77" i="33" s="1"/>
  <c r="DT65" i="33"/>
  <c r="DT76" i="33" s="1"/>
  <c r="CH69" i="33"/>
  <c r="CH80" i="33" s="1"/>
  <c r="DO73" i="33"/>
  <c r="DO85" i="33" s="1"/>
  <c r="DE73" i="33"/>
  <c r="DE85" i="33" s="1"/>
  <c r="DE71" i="33"/>
  <c r="DE82" i="33" s="1"/>
  <c r="CR70" i="33"/>
  <c r="CR81" i="33" s="1"/>
  <c r="BJ70" i="33"/>
  <c r="BJ81" i="33" s="1"/>
  <c r="CM66" i="33"/>
  <c r="CM77" i="33" s="1"/>
  <c r="CS66" i="33"/>
  <c r="CS77" i="33" s="1"/>
  <c r="DY68" i="33"/>
  <c r="DY79" i="33" s="1"/>
  <c r="DV70" i="33"/>
  <c r="DV81" i="33" s="1"/>
  <c r="BH69" i="33"/>
  <c r="BH80" i="33" s="1"/>
  <c r="DR70" i="33"/>
  <c r="DR81" i="33" s="1"/>
  <c r="CH65" i="33"/>
  <c r="CH76" i="33" s="1"/>
  <c r="DR66" i="33"/>
  <c r="DR77" i="33" s="1"/>
  <c r="BG73" i="33"/>
  <c r="BG85" i="33" s="1"/>
  <c r="DZ66" i="33"/>
  <c r="DZ77" i="33" s="1"/>
  <c r="CE73" i="33"/>
  <c r="CE85" i="33" s="1"/>
  <c r="AV72" i="33"/>
  <c r="AV84" i="33" s="1"/>
  <c r="BH71" i="33"/>
  <c r="BH82" i="33" s="1"/>
  <c r="BE71" i="33"/>
  <c r="BE82" i="33" s="1"/>
  <c r="CN71" i="33"/>
  <c r="CN82" i="33" s="1"/>
  <c r="CQ68" i="33"/>
  <c r="CQ79" i="33" s="1"/>
  <c r="BE72" i="33"/>
  <c r="BE84" i="33" s="1"/>
  <c r="BL68" i="33"/>
  <c r="BL79" i="33" s="1"/>
  <c r="BE69" i="33"/>
  <c r="BE80" i="33" s="1"/>
  <c r="CC70" i="33"/>
  <c r="CC81" i="33" s="1"/>
  <c r="DQ67" i="33"/>
  <c r="DQ78" i="33" s="1"/>
  <c r="BG72" i="33"/>
  <c r="BG84" i="33" s="1"/>
  <c r="BL73" i="33"/>
  <c r="BL85" i="33" s="1"/>
  <c r="AX69" i="33"/>
  <c r="AX80" i="33" s="1"/>
  <c r="CB66" i="33"/>
  <c r="EB70" i="33"/>
  <c r="EB81" i="33" s="1"/>
  <c r="DL71" i="33"/>
  <c r="DL82" i="33" s="1"/>
  <c r="DO70" i="33"/>
  <c r="DO81" i="33" s="1"/>
  <c r="BI71" i="33"/>
  <c r="BI82" i="33" s="1"/>
  <c r="CI72" i="33"/>
  <c r="CI84" i="33" s="1"/>
  <c r="CE65" i="33"/>
  <c r="CE76" i="33" s="1"/>
  <c r="AZ69" i="33"/>
  <c r="AZ80" i="33" s="1"/>
  <c r="BM67" i="33"/>
  <c r="BM78" i="33" s="1"/>
  <c r="CH67" i="33"/>
  <c r="CH78" i="33" s="1"/>
  <c r="CS70" i="33"/>
  <c r="CS81" i="33" s="1"/>
  <c r="BF66" i="33"/>
  <c r="BQ71" i="33"/>
  <c r="BQ82" i="33" s="1"/>
  <c r="CG73" i="33"/>
  <c r="CG85" i="33" s="1"/>
  <c r="CQ65" i="33"/>
  <c r="CQ76" i="33" s="1"/>
  <c r="CS71" i="33"/>
  <c r="CS82" i="33" s="1"/>
  <c r="CQ71" i="33"/>
  <c r="CQ82" i="33" s="1"/>
  <c r="DV73" i="33"/>
  <c r="DV85" i="33" s="1"/>
  <c r="CJ73" i="33"/>
  <c r="CJ85" i="33" s="1"/>
  <c r="BA70" i="33"/>
  <c r="BA81" i="33" s="1"/>
  <c r="CP65" i="33"/>
  <c r="CP76" i="33" s="1"/>
  <c r="BI73" i="33"/>
  <c r="BI85" i="33" s="1"/>
  <c r="CN69" i="33"/>
  <c r="CN80" i="33" s="1"/>
  <c r="CN67" i="33"/>
  <c r="CN78" i="33" s="1"/>
  <c r="AX64" i="33"/>
  <c r="CX68" i="33"/>
  <c r="CX79" i="33" s="1"/>
  <c r="CX67" i="33"/>
  <c r="CX78" i="33" s="1"/>
  <c r="CD65" i="33"/>
  <c r="CD76" i="33" s="1"/>
  <c r="DQ66" i="33"/>
  <c r="DQ77" i="33" s="1"/>
  <c r="DX65" i="33"/>
  <c r="DX76" i="33" s="1"/>
  <c r="DQ70" i="33"/>
  <c r="DQ81" i="33" s="1"/>
  <c r="EB65" i="33"/>
  <c r="EB76" i="33" s="1"/>
  <c r="CP69" i="33"/>
  <c r="CP80" i="33" s="1"/>
  <c r="DI64" i="33"/>
  <c r="DI75" i="33" s="1"/>
  <c r="DW64" i="33"/>
  <c r="DW75" i="33" s="1"/>
  <c r="DK73" i="33"/>
  <c r="DK85" i="33" s="1"/>
  <c r="DS71" i="33"/>
  <c r="DS82" i="33" s="1"/>
  <c r="DH72" i="33"/>
  <c r="DH84" i="33" s="1"/>
  <c r="DT66" i="33"/>
  <c r="DT77" i="33" s="1"/>
  <c r="CV68" i="33"/>
  <c r="CV79" i="33" s="1"/>
  <c r="DG70" i="33"/>
  <c r="DG81" i="33" s="1"/>
  <c r="EB72" i="33"/>
  <c r="EB84" i="33" s="1"/>
  <c r="BP73" i="33"/>
  <c r="BP85" i="33" s="1"/>
  <c r="CL65" i="33"/>
  <c r="CL76" i="33" s="1"/>
  <c r="BS70" i="33"/>
  <c r="BS81" i="33" s="1"/>
  <c r="CD69" i="33"/>
  <c r="CD80" i="33" s="1"/>
  <c r="AZ68" i="33"/>
  <c r="AZ79" i="33" s="1"/>
  <c r="DZ68" i="33"/>
  <c r="DZ79" i="33" s="1"/>
  <c r="BJ72" i="33"/>
  <c r="BJ84" i="33" s="1"/>
  <c r="CG71" i="33"/>
  <c r="CG82" i="33" s="1"/>
  <c r="BO66" i="33"/>
  <c r="BO77" i="33" s="1"/>
  <c r="BI70" i="33"/>
  <c r="BI81" i="33" s="1"/>
  <c r="CP68" i="33"/>
  <c r="CP79" i="33" s="1"/>
  <c r="BD65" i="33"/>
  <c r="CJ68" i="33"/>
  <c r="CJ79" i="33" s="1"/>
  <c r="AW70" i="33"/>
  <c r="AW81" i="33" s="1"/>
  <c r="BC70" i="33"/>
  <c r="BC81" i="33" s="1"/>
  <c r="CT65" i="33"/>
  <c r="CT76" i="33" s="1"/>
  <c r="AW71" i="33"/>
  <c r="AW82" i="33" s="1"/>
  <c r="BD67" i="33"/>
  <c r="AW64" i="33"/>
  <c r="CU65" i="33"/>
  <c r="CU76" i="33" s="1"/>
  <c r="CB65" i="33"/>
  <c r="CB76" i="33" s="1"/>
  <c r="CR67" i="33"/>
  <c r="CR78" i="33" s="1"/>
  <c r="BD68" i="33"/>
  <c r="BD79" i="33" s="1"/>
  <c r="EA73" i="33"/>
  <c r="EA85" i="33" s="1"/>
  <c r="CH72" i="33"/>
  <c r="CH84" i="33" s="1"/>
  <c r="DJ70" i="33"/>
  <c r="DJ81" i="33" s="1"/>
  <c r="CG70" i="33"/>
  <c r="CG81" i="33" s="1"/>
  <c r="CW66" i="33"/>
  <c r="CW77" i="33" s="1"/>
  <c r="CQ72" i="33"/>
  <c r="CQ84" i="33" s="1"/>
  <c r="BC66" i="33"/>
  <c r="DF70" i="33"/>
  <c r="DF81" i="33" s="1"/>
  <c r="CQ67" i="33"/>
  <c r="CQ78" i="33" s="1"/>
  <c r="DG68" i="33"/>
  <c r="DG79" i="33" s="1"/>
  <c r="BF64" i="33"/>
  <c r="CG68" i="33"/>
  <c r="CG79" i="33" s="1"/>
  <c r="BP68" i="33"/>
  <c r="BP79" i="33" s="1"/>
  <c r="CT73" i="33"/>
  <c r="CT85" i="33" s="1"/>
  <c r="DQ64" i="33"/>
  <c r="DQ75" i="33" s="1"/>
  <c r="DU73" i="33"/>
  <c r="DU85" i="33" s="1"/>
  <c r="CF73" i="33"/>
  <c r="CF85" i="33" s="1"/>
  <c r="DI73" i="33"/>
  <c r="DI85" i="33" s="1"/>
  <c r="DP72" i="33"/>
  <c r="DP84" i="33" s="1"/>
  <c r="DF72" i="33"/>
  <c r="DF84" i="33" s="1"/>
  <c r="DK65" i="33"/>
  <c r="DK76" i="33" s="1"/>
  <c r="DZ64" i="33"/>
  <c r="DZ75" i="33" s="1"/>
  <c r="DS69" i="33"/>
  <c r="DS80" i="33" s="1"/>
  <c r="DE65" i="33"/>
  <c r="DE76" i="33" s="1"/>
  <c r="BC72" i="33"/>
  <c r="BC84" i="33" s="1"/>
  <c r="CJ69" i="33"/>
  <c r="CJ80" i="33" s="1"/>
  <c r="EB64" i="33"/>
  <c r="EB75" i="33" s="1"/>
  <c r="AZ67" i="33"/>
  <c r="DN69" i="33"/>
  <c r="DN80" i="33" s="1"/>
  <c r="BK69" i="33"/>
  <c r="BK80" i="33" s="1"/>
  <c r="BI72" i="33"/>
  <c r="BI84" i="33" s="1"/>
  <c r="BH65" i="33"/>
  <c r="BH76" i="33" s="1"/>
  <c r="CO73" i="33"/>
  <c r="CO85" i="33" s="1"/>
  <c r="BR65" i="33"/>
  <c r="CD67" i="33"/>
  <c r="CD78" i="33" s="1"/>
  <c r="BG65" i="33"/>
  <c r="BG76" i="33" s="1"/>
  <c r="CM73" i="33"/>
  <c r="CM85" i="33" s="1"/>
  <c r="CS65" i="33"/>
  <c r="CS76" i="33" s="1"/>
  <c r="AV64" i="33"/>
  <c r="CK66" i="33"/>
  <c r="CK77" i="33" s="1"/>
  <c r="BE67" i="33"/>
  <c r="BE78" i="33" s="1"/>
  <c r="CG66" i="33"/>
  <c r="CG77" i="33" s="1"/>
  <c r="AX72" i="33"/>
  <c r="AX84" i="33" s="1"/>
  <c r="BE68" i="33"/>
  <c r="BE79" i="33" s="1"/>
  <c r="BL64" i="33"/>
  <c r="BL75" i="33" s="1"/>
  <c r="CQ66" i="33"/>
  <c r="CQ77" i="33" s="1"/>
  <c r="BG64" i="33"/>
  <c r="BG75" i="33" s="1"/>
  <c r="BL69" i="33"/>
  <c r="BL80" i="33" s="1"/>
  <c r="BF70" i="33"/>
  <c r="BF81" i="33" s="1"/>
  <c r="CS73" i="33"/>
  <c r="CS85" i="33" s="1"/>
  <c r="BI68" i="33"/>
  <c r="BI79" i="33" s="1"/>
  <c r="AY69" i="33"/>
  <c r="AY80" i="33" s="1"/>
  <c r="CN65" i="33"/>
  <c r="CN76" i="33" s="1"/>
  <c r="BL65" i="33"/>
  <c r="BL76" i="33" s="1"/>
  <c r="BE65" i="33"/>
  <c r="BE76" i="33" s="1"/>
  <c r="EB68" i="33"/>
  <c r="EB79" i="33" s="1"/>
  <c r="DL69" i="33"/>
  <c r="DL80" i="33" s="1"/>
  <c r="BK64" i="33"/>
  <c r="BK75" i="33" s="1"/>
  <c r="DY71" i="33"/>
  <c r="DY82" i="33" s="1"/>
  <c r="BC69" i="33"/>
  <c r="BC80" i="33" s="1"/>
  <c r="BN72" i="33"/>
  <c r="BN84" i="33" s="1"/>
  <c r="CK64" i="33"/>
  <c r="AY67" i="33"/>
  <c r="AW72" i="33"/>
  <c r="AW84" i="33" s="1"/>
  <c r="DJ72" i="33"/>
  <c r="DJ84" i="33" s="1"/>
  <c r="CT71" i="33"/>
  <c r="CT82" i="33" s="1"/>
  <c r="DN72" i="33"/>
  <c r="DN84" i="33" s="1"/>
  <c r="CP70" i="33"/>
  <c r="CP81" i="33" s="1"/>
  <c r="DT70" i="33"/>
  <c r="DT81" i="33" s="1"/>
  <c r="DI71" i="33"/>
  <c r="DI82" i="33" s="1"/>
  <c r="DM65" i="33"/>
  <c r="DM76" i="33" s="1"/>
  <c r="CW67" i="33"/>
  <c r="CW78" i="33" s="1"/>
  <c r="CK73" i="33"/>
  <c r="CK85" i="33" s="1"/>
  <c r="CR72" i="33"/>
  <c r="CR84" i="33" s="1"/>
  <c r="CP72" i="33"/>
  <c r="CP84" i="33" s="1"/>
  <c r="DU70" i="33"/>
  <c r="DU81" i="33" s="1"/>
  <c r="BK68" i="33"/>
  <c r="BK79" i="33" s="1"/>
  <c r="CD68" i="33"/>
  <c r="CD79" i="33" s="1"/>
  <c r="BH64" i="33"/>
  <c r="BH75" i="33" s="1"/>
  <c r="DY72" i="33"/>
  <c r="DY84" i="33" s="1"/>
  <c r="BS66" i="33"/>
  <c r="BA71" i="33"/>
  <c r="BA82" i="33" s="1"/>
  <c r="CL66" i="33"/>
  <c r="CL77" i="33" s="1"/>
  <c r="DR67" i="33"/>
  <c r="DR78" i="33" s="1"/>
  <c r="BJ64" i="33"/>
  <c r="BJ75" i="33" s="1"/>
  <c r="BH70" i="33"/>
  <c r="BH81" i="33" s="1"/>
  <c r="CY68" i="33"/>
  <c r="CY79" i="33" s="1"/>
  <c r="CN64" i="33"/>
  <c r="CN75" i="33" s="1"/>
  <c r="AW69" i="33"/>
  <c r="AW80" i="33" s="1"/>
  <c r="CN70" i="33"/>
  <c r="CN81" i="33" s="1"/>
  <c r="BN73" i="33"/>
  <c r="BN85" i="33" s="1"/>
  <c r="CO68" i="33"/>
  <c r="CO79" i="33" s="1"/>
  <c r="BJ65" i="33"/>
  <c r="BJ76" i="33" s="1"/>
  <c r="BN70" i="33"/>
  <c r="BN81" i="33" s="1"/>
  <c r="AW67" i="33"/>
  <c r="DK71" i="33"/>
  <c r="DK82" i="33" s="1"/>
  <c r="AV71" i="33"/>
  <c r="AV82" i="33" s="1"/>
  <c r="BN71" i="33"/>
  <c r="BN82" i="33" s="1"/>
  <c r="BD64" i="33"/>
  <c r="AX65" i="33"/>
  <c r="CY64" i="33"/>
  <c r="BM70" i="33"/>
  <c r="BM81" i="33" s="1"/>
  <c r="DY69" i="33"/>
  <c r="DY80" i="33" s="1"/>
  <c r="CF68" i="33"/>
  <c r="CF79" i="33" s="1"/>
  <c r="DT68" i="33"/>
  <c r="DT79" i="33" s="1"/>
  <c r="DF64" i="33"/>
  <c r="DF75" i="33" s="1"/>
  <c r="CV70" i="33"/>
  <c r="CV81" i="33" s="1"/>
  <c r="CK71" i="33"/>
  <c r="CK82" i="33" s="1"/>
  <c r="BC67" i="33"/>
  <c r="DN67" i="33"/>
  <c r="DN78" i="33" s="1"/>
  <c r="BK70" i="33"/>
  <c r="BK81" i="33" s="1"/>
  <c r="DY65" i="33"/>
  <c r="DY76" i="33" s="1"/>
  <c r="AX71" i="33"/>
  <c r="AX82" i="33" s="1"/>
  <c r="BF65" i="33"/>
  <c r="BF76" i="33" s="1"/>
  <c r="DN73" i="33"/>
  <c r="DN85" i="33" s="1"/>
  <c r="DF68" i="33"/>
  <c r="DF79" i="33" s="1"/>
  <c r="CL72" i="33"/>
  <c r="CL84" i="33" s="1"/>
  <c r="DV69" i="33"/>
  <c r="DV80" i="33" s="1"/>
  <c r="DH69" i="33"/>
  <c r="DH80" i="33" s="1"/>
  <c r="BO72" i="33"/>
  <c r="BO84" i="33" s="1"/>
  <c r="CN72" i="33"/>
  <c r="CN84" i="33" s="1"/>
  <c r="BH66" i="33"/>
  <c r="AW65" i="33"/>
  <c r="AZ70" i="33"/>
  <c r="AZ81" i="33" s="1"/>
  <c r="DY64" i="33"/>
  <c r="DY75" i="33" s="1"/>
  <c r="CV72" i="33"/>
  <c r="CV84" i="33" s="1"/>
  <c r="CM71" i="33"/>
  <c r="CM82" i="33" s="1"/>
  <c r="DF66" i="33"/>
  <c r="DF77" i="33" s="1"/>
  <c r="CY71" i="33"/>
  <c r="CY82" i="33" s="1"/>
  <c r="DE70" i="33"/>
  <c r="DE81" i="33" s="1"/>
  <c r="CW69" i="33"/>
  <c r="CW80" i="33" s="1"/>
  <c r="CL70" i="33"/>
  <c r="CL81" i="33" s="1"/>
  <c r="DP69" i="33"/>
  <c r="DP80" i="33" s="1"/>
  <c r="DH67" i="33"/>
  <c r="DH78" i="33" s="1"/>
  <c r="DV67" i="33"/>
  <c r="DV78" i="33" s="1"/>
  <c r="DL67" i="33"/>
  <c r="DL78" i="33" s="1"/>
  <c r="DS66" i="33"/>
  <c r="DS77" i="33" s="1"/>
  <c r="DG73" i="33"/>
  <c r="DG85" i="33" s="1"/>
  <c r="CQ64" i="33"/>
  <c r="CQ75" i="33" s="1"/>
  <c r="BI67" i="33"/>
  <c r="BI78" i="33" s="1"/>
  <c r="BG71" i="33"/>
  <c r="BG82" i="33" s="1"/>
  <c r="DH70" i="33"/>
  <c r="DH81" i="33" s="1"/>
  <c r="BR72" i="33"/>
  <c r="BR84" i="33" s="1"/>
  <c r="CS68" i="33"/>
  <c r="CS79" i="33" s="1"/>
  <c r="DR71" i="33"/>
  <c r="DR82" i="33" s="1"/>
  <c r="BK66" i="33"/>
  <c r="BA72" i="33"/>
  <c r="BA84" i="33" s="1"/>
  <c r="CK67" i="33"/>
  <c r="CK78" i="33" s="1"/>
  <c r="DN71" i="33"/>
  <c r="DN82" i="33" s="1"/>
  <c r="BF71" i="33"/>
  <c r="BF82" i="33" s="1"/>
  <c r="CI66" i="33"/>
  <c r="CI77" i="33" s="1"/>
  <c r="BR66" i="33"/>
  <c r="DW69" i="33"/>
  <c r="DW80" i="33" s="1"/>
  <c r="BL67" i="33"/>
  <c r="BL78" i="33" s="1"/>
  <c r="CC67" i="33"/>
  <c r="CC78" i="33" s="1"/>
  <c r="CT69" i="33"/>
  <c r="CT80" i="33" s="1"/>
  <c r="CJ65" i="33"/>
  <c r="CJ76" i="33" s="1"/>
  <c r="BN67" i="33"/>
  <c r="BN78" i="33" s="1"/>
  <c r="BS68" i="33"/>
  <c r="BS79" i="33" s="1"/>
  <c r="BE73" i="33"/>
  <c r="BE85" i="33" s="1"/>
  <c r="CE67" i="33"/>
  <c r="CE78" i="33" s="1"/>
  <c r="BM66" i="33"/>
  <c r="BO69" i="33"/>
  <c r="BO80" i="33" s="1"/>
  <c r="BD72" i="33"/>
  <c r="BD84" i="33" s="1"/>
  <c r="CF70" i="33"/>
  <c r="CF81" i="33" s="1"/>
  <c r="CM69" i="33"/>
  <c r="CM80" i="33" s="1"/>
  <c r="EB73" i="33"/>
  <c r="EB85" i="33" s="1"/>
  <c r="DW68" i="33"/>
  <c r="DW79" i="33" s="1"/>
  <c r="DE68" i="33"/>
  <c r="DE79" i="33" s="1"/>
  <c r="DW72" i="33"/>
  <c r="DW84" i="33" s="1"/>
  <c r="DI68" i="33"/>
  <c r="DI79" i="33" s="1"/>
  <c r="CO70" i="33"/>
  <c r="CO81" i="33" s="1"/>
  <c r="DH65" i="33"/>
  <c r="DH76" i="33" s="1"/>
  <c r="DV65" i="33"/>
  <c r="DV76" i="33" s="1"/>
  <c r="CR69" i="33"/>
  <c r="CR80" i="33" s="1"/>
  <c r="CJ72" i="33"/>
  <c r="CJ84" i="33" s="1"/>
  <c r="BB73" i="33"/>
  <c r="BB85" i="33" s="1"/>
  <c r="CT67" i="33"/>
  <c r="CT78" i="33" s="1"/>
  <c r="BO68" i="33"/>
  <c r="BO79" i="33" s="1"/>
  <c r="DV64" i="33"/>
  <c r="DV75" i="33" s="1"/>
  <c r="BB66" i="33"/>
  <c r="CE66" i="33"/>
  <c r="CE77" i="33" s="1"/>
  <c r="DG66" i="33"/>
  <c r="DG77" i="33" s="1"/>
  <c r="CO66" i="33"/>
  <c r="CO77" i="33" s="1"/>
  <c r="BI69" i="33"/>
  <c r="BI80" i="33" s="1"/>
  <c r="CD66" i="33"/>
  <c r="CD77" i="33" s="1"/>
  <c r="BB68" i="33"/>
  <c r="BB79" i="33" s="1"/>
  <c r="BN68" i="33"/>
  <c r="BN79" i="33" s="1"/>
  <c r="CS64" i="33"/>
  <c r="CS75" i="33" s="1"/>
  <c r="CU66" i="33"/>
  <c r="CU77" i="33" s="1"/>
  <c r="CH68" i="33"/>
  <c r="CH79" i="33" s="1"/>
  <c r="BD66" i="33"/>
  <c r="AY73" i="33"/>
  <c r="AY85" i="33" s="1"/>
  <c r="CY67" i="33"/>
  <c r="CY78" i="33" s="1"/>
  <c r="CC64" i="33"/>
  <c r="EA65" i="33"/>
  <c r="EA76" i="33" s="1"/>
  <c r="BB64" i="33"/>
  <c r="AW68" i="33"/>
  <c r="AW79" i="33" s="1"/>
  <c r="CG64" i="33"/>
  <c r="CQ69" i="33"/>
  <c r="CQ80" i="33" s="1"/>
  <c r="AV67" i="33"/>
  <c r="BS64" i="33"/>
  <c r="BO65" i="33"/>
  <c r="BQ64" i="33"/>
  <c r="BO64" i="33"/>
  <c r="BP65" i="33"/>
  <c r="BR64" i="33"/>
  <c r="L255" i="33"/>
  <c r="O255" i="33" s="1"/>
  <c r="L258" i="33"/>
  <c r="D267" i="33" s="1"/>
  <c r="AJ202" i="33"/>
  <c r="AK202" i="33" s="1"/>
  <c r="AJ203" i="33"/>
  <c r="AK203" i="33" s="1"/>
  <c r="AJ201" i="33"/>
  <c r="AK201" i="33" s="1"/>
  <c r="AJ204" i="33"/>
  <c r="AK204" i="33" s="1"/>
  <c r="AJ200" i="33"/>
  <c r="AK200" i="33" s="1"/>
  <c r="O262" i="33"/>
  <c r="D271" i="33"/>
  <c r="P199" i="33"/>
  <c r="Q199" i="33" s="1"/>
  <c r="P198" i="33"/>
  <c r="Q198" i="33" s="1"/>
  <c r="C70" i="33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AV76" i="33" l="1"/>
  <c r="AV152" i="33"/>
  <c r="AY76" i="33"/>
  <c r="AY152" i="33"/>
  <c r="BS76" i="33"/>
  <c r="BS152" i="33"/>
  <c r="BB76" i="33"/>
  <c r="BB152" i="33"/>
  <c r="BR76" i="33"/>
  <c r="BR152" i="33"/>
  <c r="AZ76" i="33"/>
  <c r="AZ152" i="33"/>
  <c r="BP76" i="33"/>
  <c r="BP152" i="33"/>
  <c r="BA76" i="33"/>
  <c r="BA152" i="33"/>
  <c r="BD76" i="33"/>
  <c r="BD152" i="33"/>
  <c r="BC76" i="33"/>
  <c r="BC152" i="33"/>
  <c r="AX76" i="33"/>
  <c r="AX152" i="33"/>
  <c r="BQ76" i="33"/>
  <c r="BQ152" i="33"/>
  <c r="BO76" i="33"/>
  <c r="BO152" i="33"/>
  <c r="AW76" i="33"/>
  <c r="AW152" i="33"/>
  <c r="BB78" i="33"/>
  <c r="BB154" i="33"/>
  <c r="AV78" i="33"/>
  <c r="AV154" i="33"/>
  <c r="BP78" i="33"/>
  <c r="BP124" i="33" s="1"/>
  <c r="BP170" i="33" s="1"/>
  <c r="BP154" i="33"/>
  <c r="AX78" i="33"/>
  <c r="AX135" i="33" s="1"/>
  <c r="AX154" i="33"/>
  <c r="BR78" i="33"/>
  <c r="BR154" i="33"/>
  <c r="AW78" i="33"/>
  <c r="AW154" i="33"/>
  <c r="AY78" i="33"/>
  <c r="AY135" i="33" s="1"/>
  <c r="AY154" i="33"/>
  <c r="BA78" i="33"/>
  <c r="BA124" i="33" s="1"/>
  <c r="BA170" i="33" s="1"/>
  <c r="BA154" i="33"/>
  <c r="BO78" i="33"/>
  <c r="BO154" i="33"/>
  <c r="BC78" i="33"/>
  <c r="BC154" i="33"/>
  <c r="BQ78" i="33"/>
  <c r="BQ135" i="33" s="1"/>
  <c r="BQ154" i="33"/>
  <c r="AZ78" i="33"/>
  <c r="AZ124" i="33" s="1"/>
  <c r="AZ170" i="33" s="1"/>
  <c r="AZ154" i="33"/>
  <c r="BD78" i="33"/>
  <c r="BD154" i="33"/>
  <c r="BS78" i="33"/>
  <c r="BS154" i="33"/>
  <c r="L211" i="33"/>
  <c r="L212" i="33" s="1"/>
  <c r="D207" i="33" s="1"/>
  <c r="Q200" i="33"/>
  <c r="D202" i="33" s="1"/>
  <c r="D264" i="33"/>
  <c r="O260" i="33"/>
  <c r="O261" i="33"/>
  <c r="O259" i="33"/>
  <c r="O254" i="33"/>
  <c r="BO122" i="33"/>
  <c r="BO168" i="33" s="1"/>
  <c r="BO133" i="33"/>
  <c r="CC151" i="33"/>
  <c r="CC75" i="33"/>
  <c r="BB125" i="33"/>
  <c r="BB171" i="33" s="1"/>
  <c r="BB136" i="33"/>
  <c r="BO125" i="33"/>
  <c r="BO171" i="33" s="1"/>
  <c r="BO136" i="33"/>
  <c r="DI136" i="33"/>
  <c r="DI125" i="33"/>
  <c r="DI171" i="33" s="1"/>
  <c r="BO137" i="33"/>
  <c r="BO126" i="33"/>
  <c r="BO172" i="33" s="1"/>
  <c r="CC135" i="33"/>
  <c r="CC124" i="33"/>
  <c r="CC170" i="33" s="1"/>
  <c r="BA129" i="33"/>
  <c r="BA175" i="33" s="1"/>
  <c r="BA140" i="33"/>
  <c r="CQ121" i="33"/>
  <c r="CQ167" i="33" s="1"/>
  <c r="CQ132" i="33"/>
  <c r="CW126" i="33"/>
  <c r="CW172" i="33" s="1"/>
  <c r="CW137" i="33"/>
  <c r="AW122" i="33"/>
  <c r="AW168" i="33" s="1"/>
  <c r="AW133" i="33"/>
  <c r="DN130" i="33"/>
  <c r="DN176" i="33" s="1"/>
  <c r="DN141" i="33"/>
  <c r="CV127" i="33"/>
  <c r="CV173" i="33" s="1"/>
  <c r="CV138" i="33"/>
  <c r="BD151" i="33"/>
  <c r="BD75" i="33"/>
  <c r="BN130" i="33"/>
  <c r="BN176" i="33" s="1"/>
  <c r="BN141" i="33"/>
  <c r="CL123" i="33"/>
  <c r="CL169" i="33" s="1"/>
  <c r="CL134" i="33"/>
  <c r="CP129" i="33"/>
  <c r="CP175" i="33" s="1"/>
  <c r="CP140" i="33"/>
  <c r="DN140" i="33"/>
  <c r="DN129" i="33"/>
  <c r="DN175" i="33" s="1"/>
  <c r="DY128" i="33"/>
  <c r="DY174" i="33" s="1"/>
  <c r="DY139" i="33"/>
  <c r="BI125" i="33"/>
  <c r="BI171" i="33" s="1"/>
  <c r="BI136" i="33"/>
  <c r="AX129" i="33"/>
  <c r="AX175" i="33" s="1"/>
  <c r="AX140" i="33"/>
  <c r="CD124" i="33"/>
  <c r="CD170" i="33" s="1"/>
  <c r="CD135" i="33"/>
  <c r="EB121" i="33"/>
  <c r="EB167" i="33" s="1"/>
  <c r="EB132" i="33"/>
  <c r="DP129" i="33"/>
  <c r="DP175" i="33" s="1"/>
  <c r="DP140" i="33"/>
  <c r="BF151" i="33"/>
  <c r="BF75" i="33"/>
  <c r="DJ127" i="33"/>
  <c r="DJ173" i="33" s="1"/>
  <c r="DJ138" i="33"/>
  <c r="BD124" i="33"/>
  <c r="BD170" i="33" s="1"/>
  <c r="BD135" i="33"/>
  <c r="BI127" i="33"/>
  <c r="BI173" i="33" s="1"/>
  <c r="BI138" i="33"/>
  <c r="CL122" i="33"/>
  <c r="CL168" i="33" s="1"/>
  <c r="CL133" i="33"/>
  <c r="DK130" i="33"/>
  <c r="DK176" i="33" s="1"/>
  <c r="DK141" i="33"/>
  <c r="CD133" i="33"/>
  <c r="CD122" i="33"/>
  <c r="CD168" i="33" s="1"/>
  <c r="BA138" i="33"/>
  <c r="BA127" i="33"/>
  <c r="BA173" i="33" s="1"/>
  <c r="BF77" i="33"/>
  <c r="BF153" i="33"/>
  <c r="DO127" i="33"/>
  <c r="DO173" i="33" s="1"/>
  <c r="DO138" i="33"/>
  <c r="CC127" i="33"/>
  <c r="CC173" i="33" s="1"/>
  <c r="CC138" i="33"/>
  <c r="AV129" i="33"/>
  <c r="AV175" i="33" s="1"/>
  <c r="AV140" i="33"/>
  <c r="DV127" i="33"/>
  <c r="DV173" i="33" s="1"/>
  <c r="DV138" i="33"/>
  <c r="DO130" i="33"/>
  <c r="DO176" i="33" s="1"/>
  <c r="DO141" i="33"/>
  <c r="DQ129" i="33"/>
  <c r="DQ175" i="33" s="1"/>
  <c r="DQ140" i="33"/>
  <c r="BP75" i="33"/>
  <c r="BP151" i="33"/>
  <c r="BB129" i="33"/>
  <c r="BB175" i="33" s="1"/>
  <c r="BB140" i="33"/>
  <c r="DK125" i="33"/>
  <c r="DK171" i="33" s="1"/>
  <c r="DK136" i="33"/>
  <c r="BS135" i="33"/>
  <c r="BS124" i="33"/>
  <c r="BS170" i="33" s="1"/>
  <c r="CI75" i="33"/>
  <c r="CI151" i="33"/>
  <c r="BQ125" i="33"/>
  <c r="BQ171" i="33" s="1"/>
  <c r="BQ136" i="33"/>
  <c r="DZ124" i="33"/>
  <c r="DZ170" i="33" s="1"/>
  <c r="DZ135" i="33"/>
  <c r="DO125" i="33"/>
  <c r="DO171" i="33" s="1"/>
  <c r="DO136" i="33"/>
  <c r="CE128" i="33"/>
  <c r="CE174" i="33" s="1"/>
  <c r="CE139" i="33"/>
  <c r="DM124" i="33"/>
  <c r="DM170" i="33" s="1"/>
  <c r="DM135" i="33"/>
  <c r="BM130" i="33"/>
  <c r="BM176" i="33" s="1"/>
  <c r="BM141" i="33"/>
  <c r="BN133" i="33"/>
  <c r="BN122" i="33"/>
  <c r="BN168" i="33" s="1"/>
  <c r="CM121" i="33"/>
  <c r="CM167" i="33" s="1"/>
  <c r="CM132" i="33"/>
  <c r="CX151" i="33"/>
  <c r="CX75" i="33"/>
  <c r="DP125" i="33"/>
  <c r="DP171" i="33" s="1"/>
  <c r="DP136" i="33"/>
  <c r="CF75" i="33"/>
  <c r="CF151" i="33"/>
  <c r="DU125" i="33"/>
  <c r="DU171" i="33" s="1"/>
  <c r="DU136" i="33"/>
  <c r="DS127" i="33"/>
  <c r="DS173" i="33" s="1"/>
  <c r="DS138" i="33"/>
  <c r="CI130" i="33"/>
  <c r="CI176" i="33" s="1"/>
  <c r="CI141" i="33"/>
  <c r="DN121" i="33"/>
  <c r="DN167" i="33" s="1"/>
  <c r="DN132" i="33"/>
  <c r="BJ126" i="33"/>
  <c r="BJ172" i="33" s="1"/>
  <c r="BJ137" i="33"/>
  <c r="BD127" i="33"/>
  <c r="BD173" i="33" s="1"/>
  <c r="BD138" i="33"/>
  <c r="CW136" i="33"/>
  <c r="CW125" i="33"/>
  <c r="CW171" i="33" s="1"/>
  <c r="DL121" i="33"/>
  <c r="DL167" i="33" s="1"/>
  <c r="DL132" i="33"/>
  <c r="DG124" i="33"/>
  <c r="DG170" i="33" s="1"/>
  <c r="DG135" i="33"/>
  <c r="DY127" i="33"/>
  <c r="DY173" i="33" s="1"/>
  <c r="DY138" i="33"/>
  <c r="CF124" i="33"/>
  <c r="CF170" i="33" s="1"/>
  <c r="CF135" i="33"/>
  <c r="DZ126" i="33"/>
  <c r="DZ172" i="33" s="1"/>
  <c r="DZ137" i="33"/>
  <c r="DE129" i="33"/>
  <c r="DE175" i="33" s="1"/>
  <c r="DE140" i="33"/>
  <c r="EA129" i="33"/>
  <c r="EA175" i="33" s="1"/>
  <c r="EA140" i="33"/>
  <c r="DJ132" i="33"/>
  <c r="DJ121" i="33"/>
  <c r="DJ167" i="33" s="1"/>
  <c r="BF126" i="33"/>
  <c r="BF172" i="33" s="1"/>
  <c r="BF137" i="33"/>
  <c r="AY128" i="33"/>
  <c r="AY174" i="33" s="1"/>
  <c r="AY139" i="33"/>
  <c r="CC125" i="33"/>
  <c r="CC171" i="33" s="1"/>
  <c r="CC136" i="33"/>
  <c r="BR126" i="33"/>
  <c r="BR172" i="33" s="1"/>
  <c r="BR137" i="33"/>
  <c r="CN123" i="33"/>
  <c r="CN169" i="33" s="1"/>
  <c r="CN134" i="33"/>
  <c r="AZ128" i="33"/>
  <c r="AZ174" i="33" s="1"/>
  <c r="AZ139" i="33"/>
  <c r="CH123" i="33"/>
  <c r="CH169" i="33" s="1"/>
  <c r="CH134" i="33"/>
  <c r="DV125" i="33"/>
  <c r="DV171" i="33" s="1"/>
  <c r="DV136" i="33"/>
  <c r="CL128" i="33"/>
  <c r="CL174" i="33" s="1"/>
  <c r="CL139" i="33"/>
  <c r="EB124" i="33"/>
  <c r="EB170" i="33" s="1"/>
  <c r="EB135" i="33"/>
  <c r="DK138" i="33"/>
  <c r="DK127" i="33"/>
  <c r="DK173" i="33" s="1"/>
  <c r="BL138" i="33"/>
  <c r="BL127" i="33"/>
  <c r="BL173" i="33" s="1"/>
  <c r="AY129" i="33"/>
  <c r="AY175" i="33" s="1"/>
  <c r="AY140" i="33"/>
  <c r="DG122" i="33"/>
  <c r="DG168" i="33" s="1"/>
  <c r="DG133" i="33"/>
  <c r="CN130" i="33"/>
  <c r="CN176" i="33" s="1"/>
  <c r="CN141" i="33"/>
  <c r="BB137" i="33"/>
  <c r="BB126" i="33"/>
  <c r="BB172" i="33" s="1"/>
  <c r="DW128" i="33"/>
  <c r="DW174" i="33" s="1"/>
  <c r="DW139" i="33"/>
  <c r="DE132" i="33"/>
  <c r="DE121" i="33"/>
  <c r="DE167" i="33" s="1"/>
  <c r="EA121" i="33"/>
  <c r="EA167" i="33" s="1"/>
  <c r="EA132" i="33"/>
  <c r="DJ139" i="33"/>
  <c r="DJ128" i="33"/>
  <c r="DJ174" i="33" s="1"/>
  <c r="AL208" i="33"/>
  <c r="BS151" i="33"/>
  <c r="BS75" i="33"/>
  <c r="CY124" i="33"/>
  <c r="CY170" i="33" s="1"/>
  <c r="CY135" i="33"/>
  <c r="CD123" i="33"/>
  <c r="CD169" i="33" s="1"/>
  <c r="CD134" i="33"/>
  <c r="CT135" i="33"/>
  <c r="CT124" i="33"/>
  <c r="CT170" i="33" s="1"/>
  <c r="DW129" i="33"/>
  <c r="DW175" i="33" s="1"/>
  <c r="DW140" i="33"/>
  <c r="BM77" i="33"/>
  <c r="BM153" i="33"/>
  <c r="BM160" i="33" s="1"/>
  <c r="BM161" i="33" s="1"/>
  <c r="BM162" i="33" s="1"/>
  <c r="BL135" i="33"/>
  <c r="BL124" i="33"/>
  <c r="BL170" i="33" s="1"/>
  <c r="BK153" i="33"/>
  <c r="BK160" i="33" s="1"/>
  <c r="BK161" i="33" s="1"/>
  <c r="BK162" i="33" s="1"/>
  <c r="BK77" i="33"/>
  <c r="DG130" i="33"/>
  <c r="DG176" i="33" s="1"/>
  <c r="DG141" i="33"/>
  <c r="DE127" i="33"/>
  <c r="DE173" i="33" s="1"/>
  <c r="DE138" i="33"/>
  <c r="BH153" i="33"/>
  <c r="BH160" i="33" s="1"/>
  <c r="BH161" i="33" s="1"/>
  <c r="BH162" i="33" s="1"/>
  <c r="BH77" i="33"/>
  <c r="BF122" i="33"/>
  <c r="BF168" i="33" s="1"/>
  <c r="BF133" i="33"/>
  <c r="DF121" i="33"/>
  <c r="DF167" i="33" s="1"/>
  <c r="DF132" i="33"/>
  <c r="BN128" i="33"/>
  <c r="BN174" i="33" s="1"/>
  <c r="BN139" i="33"/>
  <c r="CN127" i="33"/>
  <c r="CN173" i="33" s="1"/>
  <c r="CN138" i="33"/>
  <c r="BA139" i="33"/>
  <c r="BA128" i="33"/>
  <c r="BA174" i="33" s="1"/>
  <c r="CR129" i="33"/>
  <c r="CR175" i="33" s="1"/>
  <c r="CR140" i="33"/>
  <c r="CT128" i="33"/>
  <c r="CT174" i="33" s="1"/>
  <c r="CT139" i="33"/>
  <c r="BK121" i="33"/>
  <c r="BK167" i="33" s="1"/>
  <c r="BK132" i="33"/>
  <c r="CS130" i="33"/>
  <c r="CS176" i="33" s="1"/>
  <c r="CS141" i="33"/>
  <c r="CG123" i="33"/>
  <c r="CG169" i="33" s="1"/>
  <c r="CG134" i="33"/>
  <c r="BR122" i="33"/>
  <c r="BR168" i="33" s="1"/>
  <c r="BR133" i="33"/>
  <c r="CJ126" i="33"/>
  <c r="CJ172" i="33" s="1"/>
  <c r="CJ137" i="33"/>
  <c r="DI130" i="33"/>
  <c r="DI176" i="33" s="1"/>
  <c r="DI141" i="33"/>
  <c r="DG125" i="33"/>
  <c r="DG171" i="33" s="1"/>
  <c r="DG136" i="33"/>
  <c r="CH129" i="33"/>
  <c r="CH175" i="33" s="1"/>
  <c r="CH140" i="33"/>
  <c r="AW128" i="33"/>
  <c r="AW174" i="33" s="1"/>
  <c r="AW139" i="33"/>
  <c r="BO123" i="33"/>
  <c r="BO169" i="33" s="1"/>
  <c r="BO134" i="33"/>
  <c r="BP130" i="33"/>
  <c r="BP176" i="33" s="1"/>
  <c r="BP141" i="33"/>
  <c r="DW132" i="33"/>
  <c r="DW121" i="33"/>
  <c r="DW167" i="33" s="1"/>
  <c r="CX135" i="33"/>
  <c r="CX124" i="33"/>
  <c r="CX170" i="33" s="1"/>
  <c r="CJ130" i="33"/>
  <c r="CJ176" i="33" s="1"/>
  <c r="CJ141" i="33"/>
  <c r="CS138" i="33"/>
  <c r="CS127" i="33"/>
  <c r="CS173" i="33" s="1"/>
  <c r="DL128" i="33"/>
  <c r="DL174" i="33" s="1"/>
  <c r="DL139" i="33"/>
  <c r="BE137" i="33"/>
  <c r="BE126" i="33"/>
  <c r="BE172" i="33" s="1"/>
  <c r="CE130" i="33"/>
  <c r="CE176" i="33" s="1"/>
  <c r="CE141" i="33"/>
  <c r="DY125" i="33"/>
  <c r="DY171" i="33" s="1"/>
  <c r="DY136" i="33"/>
  <c r="CH126" i="33"/>
  <c r="CH172" i="33" s="1"/>
  <c r="CH137" i="33"/>
  <c r="DX124" i="33"/>
  <c r="DX170" i="33" s="1"/>
  <c r="DX135" i="33"/>
  <c r="BR127" i="33"/>
  <c r="BR173" i="33" s="1"/>
  <c r="BR138" i="33"/>
  <c r="DY123" i="33"/>
  <c r="DY169" i="33" s="1"/>
  <c r="DY134" i="33"/>
  <c r="AY151" i="33"/>
  <c r="AY75" i="33"/>
  <c r="DU129" i="33"/>
  <c r="DU175" i="33" s="1"/>
  <c r="DU140" i="33"/>
  <c r="BC125" i="33"/>
  <c r="BC171" i="33" s="1"/>
  <c r="BC136" i="33"/>
  <c r="CH127" i="33"/>
  <c r="CH173" i="33" s="1"/>
  <c r="CH138" i="33"/>
  <c r="CW130" i="33"/>
  <c r="CW176" i="33" s="1"/>
  <c r="CW141" i="33"/>
  <c r="CL126" i="33"/>
  <c r="CL172" i="33" s="1"/>
  <c r="CL137" i="33"/>
  <c r="EA128" i="33"/>
  <c r="EA174" i="33" s="1"/>
  <c r="EA139" i="33"/>
  <c r="CB130" i="33"/>
  <c r="CB176" i="33" s="1"/>
  <c r="CB141" i="33"/>
  <c r="BN77" i="33"/>
  <c r="BN153" i="33"/>
  <c r="CY126" i="33"/>
  <c r="CY172" i="33" s="1"/>
  <c r="CY137" i="33"/>
  <c r="BH124" i="33"/>
  <c r="BH170" i="33" s="1"/>
  <c r="BH135" i="33"/>
  <c r="BB124" i="33"/>
  <c r="BB170" i="33" s="1"/>
  <c r="BB135" i="33"/>
  <c r="BQ130" i="33"/>
  <c r="BQ176" i="33" s="1"/>
  <c r="BQ141" i="33"/>
  <c r="BH125" i="33"/>
  <c r="BH171" i="33" s="1"/>
  <c r="BH136" i="33"/>
  <c r="BK130" i="33"/>
  <c r="BK176" i="33" s="1"/>
  <c r="BK141" i="33"/>
  <c r="DH123" i="33"/>
  <c r="DH169" i="33" s="1"/>
  <c r="DH134" i="33"/>
  <c r="DW130" i="33"/>
  <c r="DW176" i="33" s="1"/>
  <c r="DW141" i="33"/>
  <c r="DF122" i="33"/>
  <c r="DF168" i="33" s="1"/>
  <c r="DF133" i="33"/>
  <c r="BD139" i="33"/>
  <c r="BD128" i="33"/>
  <c r="BD174" i="33" s="1"/>
  <c r="DM128" i="33"/>
  <c r="DM174" i="33" s="1"/>
  <c r="DM139" i="33"/>
  <c r="BM128" i="33"/>
  <c r="BM174" i="33" s="1"/>
  <c r="BM139" i="33"/>
  <c r="AZ130" i="33"/>
  <c r="AZ176" i="33" s="1"/>
  <c r="AZ141" i="33"/>
  <c r="CB128" i="33"/>
  <c r="CB174" i="33" s="1"/>
  <c r="CB139" i="33"/>
  <c r="DN136" i="33"/>
  <c r="DN125" i="33"/>
  <c r="DN171" i="33" s="1"/>
  <c r="BC128" i="33"/>
  <c r="BC174" i="33" s="1"/>
  <c r="BC139" i="33"/>
  <c r="DO122" i="33"/>
  <c r="DO168" i="33" s="1"/>
  <c r="DO133" i="33"/>
  <c r="DJ125" i="33"/>
  <c r="DJ171" i="33" s="1"/>
  <c r="DJ136" i="33"/>
  <c r="CB126" i="33"/>
  <c r="CB172" i="33" s="1"/>
  <c r="CB137" i="33"/>
  <c r="CX126" i="33"/>
  <c r="CX172" i="33" s="1"/>
  <c r="CX137" i="33"/>
  <c r="BG127" i="33"/>
  <c r="BG173" i="33" s="1"/>
  <c r="BG138" i="33"/>
  <c r="CP132" i="33"/>
  <c r="CP121" i="33"/>
  <c r="CP167" i="33" s="1"/>
  <c r="BK135" i="33"/>
  <c r="BK124" i="33"/>
  <c r="BK170" i="33" s="1"/>
  <c r="CX141" i="33"/>
  <c r="CX130" i="33"/>
  <c r="CX176" i="33" s="1"/>
  <c r="BB127" i="33"/>
  <c r="BB173" i="33" s="1"/>
  <c r="BB138" i="33"/>
  <c r="DN127" i="33"/>
  <c r="DN173" i="33" s="1"/>
  <c r="DN138" i="33"/>
  <c r="CV141" i="33"/>
  <c r="CV130" i="33"/>
  <c r="CV176" i="33" s="1"/>
  <c r="DS132" i="33"/>
  <c r="DS121" i="33"/>
  <c r="DS167" i="33" s="1"/>
  <c r="DI140" i="33"/>
  <c r="DI129" i="33"/>
  <c r="DI175" i="33" s="1"/>
  <c r="CQ141" i="33"/>
  <c r="CQ130" i="33"/>
  <c r="CQ176" i="33" s="1"/>
  <c r="AV130" i="33"/>
  <c r="AV176" i="33" s="1"/>
  <c r="AV141" i="33"/>
  <c r="DS130" i="33"/>
  <c r="DS176" i="33" s="1"/>
  <c r="DS141" i="33"/>
  <c r="AZ122" i="33"/>
  <c r="AZ168" i="33" s="1"/>
  <c r="AZ133" i="33"/>
  <c r="CU129" i="33"/>
  <c r="CU175" i="33" s="1"/>
  <c r="CU140" i="33"/>
  <c r="DN123" i="33"/>
  <c r="DN169" i="33" s="1"/>
  <c r="DN134" i="33"/>
  <c r="CO128" i="33"/>
  <c r="CO174" i="33" s="1"/>
  <c r="CO139" i="33"/>
  <c r="DO129" i="33"/>
  <c r="DO175" i="33" s="1"/>
  <c r="DO140" i="33"/>
  <c r="CB127" i="33"/>
  <c r="CB173" i="33" s="1"/>
  <c r="CB138" i="33"/>
  <c r="CB151" i="33"/>
  <c r="CB75" i="33"/>
  <c r="DX123" i="33"/>
  <c r="DX169" i="33" s="1"/>
  <c r="DX134" i="33"/>
  <c r="AP204" i="33"/>
  <c r="AQ204" i="33" s="1"/>
  <c r="AP203" i="33"/>
  <c r="AQ203" i="33" s="1"/>
  <c r="AP202" i="33"/>
  <c r="AQ202" i="33" s="1"/>
  <c r="AP201" i="33"/>
  <c r="AQ201" i="33" s="1"/>
  <c r="AP200" i="33"/>
  <c r="AQ200" i="33" s="1"/>
  <c r="BB141" i="33"/>
  <c r="BB130" i="33"/>
  <c r="BB176" i="33" s="1"/>
  <c r="DE125" i="33"/>
  <c r="DE171" i="33" s="1"/>
  <c r="DE136" i="33"/>
  <c r="DS123" i="33"/>
  <c r="DS169" i="33" s="1"/>
  <c r="DS134" i="33"/>
  <c r="CY128" i="33"/>
  <c r="CY174" i="33" s="1"/>
  <c r="CY139" i="33"/>
  <c r="AV128" i="33"/>
  <c r="AV174" i="33" s="1"/>
  <c r="AV139" i="33"/>
  <c r="DJ129" i="33"/>
  <c r="DJ175" i="33" s="1"/>
  <c r="DJ140" i="33"/>
  <c r="BE135" i="33"/>
  <c r="BE124" i="33"/>
  <c r="BE170" i="33" s="1"/>
  <c r="CF130" i="33"/>
  <c r="CF176" i="33" s="1"/>
  <c r="CF141" i="33"/>
  <c r="CT122" i="33"/>
  <c r="CT168" i="33" s="1"/>
  <c r="CT133" i="33"/>
  <c r="CX136" i="33"/>
  <c r="CX125" i="33"/>
  <c r="CX171" i="33" s="1"/>
  <c r="CH135" i="33"/>
  <c r="CH124" i="33"/>
  <c r="CH170" i="33" s="1"/>
  <c r="DZ123" i="33"/>
  <c r="DZ169" i="33" s="1"/>
  <c r="DZ134" i="33"/>
  <c r="AX141" i="33"/>
  <c r="AX130" i="33"/>
  <c r="AX176" i="33" s="1"/>
  <c r="CV75" i="33"/>
  <c r="CV151" i="33"/>
  <c r="BR128" i="33"/>
  <c r="BR174" i="33" s="1"/>
  <c r="BR139" i="33"/>
  <c r="DX130" i="33"/>
  <c r="DX176" i="33" s="1"/>
  <c r="DX141" i="33"/>
  <c r="CV124" i="33"/>
  <c r="CV170" i="33" s="1"/>
  <c r="CV135" i="33"/>
  <c r="CV128" i="33"/>
  <c r="CV174" i="33" s="1"/>
  <c r="CV139" i="33"/>
  <c r="BI122" i="33"/>
  <c r="BI168" i="33" s="1"/>
  <c r="BI133" i="33"/>
  <c r="CD128" i="33"/>
  <c r="CD174" i="33" s="1"/>
  <c r="CD139" i="33"/>
  <c r="DM127" i="33"/>
  <c r="DM173" i="33" s="1"/>
  <c r="DM138" i="33"/>
  <c r="CR128" i="33"/>
  <c r="CR174" i="33" s="1"/>
  <c r="CR139" i="33"/>
  <c r="CS126" i="33"/>
  <c r="CS172" i="33" s="1"/>
  <c r="CS137" i="33"/>
  <c r="CL121" i="33"/>
  <c r="CL167" i="33" s="1"/>
  <c r="CL132" i="33"/>
  <c r="AZ151" i="33"/>
  <c r="AZ75" i="33"/>
  <c r="DL125" i="33"/>
  <c r="DL171" i="33" s="1"/>
  <c r="DL136" i="33"/>
  <c r="DX127" i="33"/>
  <c r="DX173" i="33" s="1"/>
  <c r="DX138" i="33"/>
  <c r="V199" i="33"/>
  <c r="W199" i="33" s="1"/>
  <c r="V198" i="33"/>
  <c r="W198" i="33" s="1"/>
  <c r="CQ137" i="33"/>
  <c r="CQ126" i="33"/>
  <c r="CQ172" i="33" s="1"/>
  <c r="DW136" i="33"/>
  <c r="DW125" i="33"/>
  <c r="DW171" i="33" s="1"/>
  <c r="CS125" i="33"/>
  <c r="CS171" i="33" s="1"/>
  <c r="CS136" i="33"/>
  <c r="BO140" i="33"/>
  <c r="BO129" i="33"/>
  <c r="BO175" i="33" s="1"/>
  <c r="DK139" i="33"/>
  <c r="DK128" i="33"/>
  <c r="DK174" i="33" s="1"/>
  <c r="AW140" i="33"/>
  <c r="AW129" i="33"/>
  <c r="AW175" i="33" s="1"/>
  <c r="BL126" i="33"/>
  <c r="BL172" i="33" s="1"/>
  <c r="BL137" i="33"/>
  <c r="DE122" i="33"/>
  <c r="DE168" i="33" s="1"/>
  <c r="DE133" i="33"/>
  <c r="BC127" i="33"/>
  <c r="BC173" i="33" s="1"/>
  <c r="BC138" i="33"/>
  <c r="AX151" i="33"/>
  <c r="AX75" i="33"/>
  <c r="CB153" i="33"/>
  <c r="CB77" i="33"/>
  <c r="DE123" i="33"/>
  <c r="DE169" i="33" s="1"/>
  <c r="DE134" i="33"/>
  <c r="BE77" i="33"/>
  <c r="BE153" i="33"/>
  <c r="DR130" i="33"/>
  <c r="DR176" i="33" s="1"/>
  <c r="DR141" i="33"/>
  <c r="CX129" i="33"/>
  <c r="CX175" i="33" s="1"/>
  <c r="CX140" i="33"/>
  <c r="DM126" i="33"/>
  <c r="DM172" i="33" s="1"/>
  <c r="DM137" i="33"/>
  <c r="BS128" i="33"/>
  <c r="BS174" i="33" s="1"/>
  <c r="BS139" i="33"/>
  <c r="DS129" i="33"/>
  <c r="DS175" i="33" s="1"/>
  <c r="DS140" i="33"/>
  <c r="CC133" i="33"/>
  <c r="CC122" i="33"/>
  <c r="CC168" i="33" s="1"/>
  <c r="CF123" i="33"/>
  <c r="CF169" i="33" s="1"/>
  <c r="CF134" i="33"/>
  <c r="CM122" i="33"/>
  <c r="CM168" i="33" s="1"/>
  <c r="CM133" i="33"/>
  <c r="DP121" i="33"/>
  <c r="DP167" i="33" s="1"/>
  <c r="DP132" i="33"/>
  <c r="CT151" i="33"/>
  <c r="CT75" i="33"/>
  <c r="CY141" i="33"/>
  <c r="CY130" i="33"/>
  <c r="CY176" i="33" s="1"/>
  <c r="BO138" i="33"/>
  <c r="BO127" i="33"/>
  <c r="BO173" i="33" s="1"/>
  <c r="DG126" i="33"/>
  <c r="DG172" i="33" s="1"/>
  <c r="DG137" i="33"/>
  <c r="DP138" i="33"/>
  <c r="DP127" i="33"/>
  <c r="DP173" i="33" s="1"/>
  <c r="CW140" i="33"/>
  <c r="CW129" i="33"/>
  <c r="CW175" i="33" s="1"/>
  <c r="EB137" i="33"/>
  <c r="EB126" i="33"/>
  <c r="EB172" i="33" s="1"/>
  <c r="CR123" i="33"/>
  <c r="CR169" i="33" s="1"/>
  <c r="CR134" i="33"/>
  <c r="BF124" i="33"/>
  <c r="BF170" i="33" s="1"/>
  <c r="BF135" i="33"/>
  <c r="BA125" i="33"/>
  <c r="BA171" i="33" s="1"/>
  <c r="BA136" i="33"/>
  <c r="CW151" i="33"/>
  <c r="CW75" i="33"/>
  <c r="DG129" i="33"/>
  <c r="DG175" i="33" s="1"/>
  <c r="DG140" i="33"/>
  <c r="CR130" i="33"/>
  <c r="CR176" i="33" s="1"/>
  <c r="CR141" i="33"/>
  <c r="DP128" i="33"/>
  <c r="DP174" i="33" s="1"/>
  <c r="DP139" i="33"/>
  <c r="DJ130" i="33"/>
  <c r="DJ176" i="33" s="1"/>
  <c r="DJ141" i="33"/>
  <c r="BR75" i="33"/>
  <c r="BR151" i="33"/>
  <c r="CG75" i="33"/>
  <c r="CG151" i="33"/>
  <c r="CH125" i="33"/>
  <c r="CH171" i="33" s="1"/>
  <c r="CH136" i="33"/>
  <c r="DG134" i="33"/>
  <c r="DG123" i="33"/>
  <c r="DG169" i="33" s="1"/>
  <c r="CR126" i="33"/>
  <c r="CR172" i="33" s="1"/>
  <c r="CR137" i="33"/>
  <c r="EB130" i="33"/>
  <c r="EB176" i="33" s="1"/>
  <c r="EB141" i="33"/>
  <c r="BS125" i="33"/>
  <c r="BS171" i="33" s="1"/>
  <c r="BS136" i="33"/>
  <c r="CI134" i="33"/>
  <c r="CI123" i="33"/>
  <c r="CI169" i="33" s="1"/>
  <c r="BR129" i="33"/>
  <c r="BR175" i="33" s="1"/>
  <c r="BR140" i="33"/>
  <c r="DV124" i="33"/>
  <c r="DV170" i="33" s="1"/>
  <c r="DV135" i="33"/>
  <c r="CM128" i="33"/>
  <c r="CM174" i="33" s="1"/>
  <c r="CM139" i="33"/>
  <c r="DH137" i="33"/>
  <c r="DH126" i="33"/>
  <c r="DH172" i="33" s="1"/>
  <c r="BK127" i="33"/>
  <c r="BK173" i="33" s="1"/>
  <c r="BK138" i="33"/>
  <c r="DY126" i="33"/>
  <c r="DY172" i="33" s="1"/>
  <c r="DY137" i="33"/>
  <c r="AW124" i="33"/>
  <c r="AW170" i="33" s="1"/>
  <c r="AW135" i="33"/>
  <c r="CY125" i="33"/>
  <c r="CY171" i="33" s="1"/>
  <c r="CY136" i="33"/>
  <c r="BH121" i="33"/>
  <c r="BH167" i="33" s="1"/>
  <c r="BH132" i="33"/>
  <c r="DM122" i="33"/>
  <c r="DM168" i="33" s="1"/>
  <c r="DM133" i="33"/>
  <c r="BE133" i="33"/>
  <c r="BE122" i="33"/>
  <c r="BE168" i="33" s="1"/>
  <c r="BG121" i="33"/>
  <c r="BG167" i="33" s="1"/>
  <c r="BG132" i="33"/>
  <c r="AV151" i="33"/>
  <c r="AV75" i="33"/>
  <c r="BI129" i="33"/>
  <c r="BI175" i="33" s="1"/>
  <c r="BI140" i="33"/>
  <c r="DS126" i="33"/>
  <c r="DS172" i="33" s="1"/>
  <c r="DS137" i="33"/>
  <c r="DQ121" i="33"/>
  <c r="DQ167" i="33" s="1"/>
  <c r="DQ132" i="33"/>
  <c r="BC153" i="33"/>
  <c r="BC77" i="33"/>
  <c r="CR135" i="33"/>
  <c r="CR124" i="33"/>
  <c r="CR170" i="33" s="1"/>
  <c r="AW127" i="33"/>
  <c r="AW173" i="33" s="1"/>
  <c r="AW138" i="33"/>
  <c r="DZ136" i="33"/>
  <c r="DZ125" i="33"/>
  <c r="DZ171" i="33" s="1"/>
  <c r="CV125" i="33"/>
  <c r="CV171" i="33" s="1"/>
  <c r="CV136" i="33"/>
  <c r="EB133" i="33"/>
  <c r="EB122" i="33"/>
  <c r="EB168" i="33" s="1"/>
  <c r="CN135" i="33"/>
  <c r="CN124" i="33"/>
  <c r="CN170" i="33" s="1"/>
  <c r="CS128" i="33"/>
  <c r="CS174" i="33" s="1"/>
  <c r="CS139" i="33"/>
  <c r="AZ126" i="33"/>
  <c r="AZ172" i="33" s="1"/>
  <c r="AZ137" i="33"/>
  <c r="AX126" i="33"/>
  <c r="AX172" i="33" s="1"/>
  <c r="AX137" i="33"/>
  <c r="CQ125" i="33"/>
  <c r="CQ171" i="33" s="1"/>
  <c r="CQ136" i="33"/>
  <c r="DR123" i="33"/>
  <c r="DR169" i="33" s="1"/>
  <c r="DR134" i="33"/>
  <c r="BJ127" i="33"/>
  <c r="BJ173" i="33" s="1"/>
  <c r="BJ138" i="33"/>
  <c r="DW123" i="33"/>
  <c r="DW169" i="33" s="1"/>
  <c r="DW134" i="33"/>
  <c r="CY77" i="33"/>
  <c r="CY153" i="33"/>
  <c r="BM125" i="33"/>
  <c r="BM171" i="33" s="1"/>
  <c r="BM136" i="33"/>
  <c r="CI124" i="33"/>
  <c r="CI170" i="33" s="1"/>
  <c r="CI135" i="33"/>
  <c r="CK125" i="33"/>
  <c r="CK171" i="33" s="1"/>
  <c r="CK136" i="33"/>
  <c r="BP123" i="33"/>
  <c r="BP169" i="33" s="1"/>
  <c r="BP134" i="33"/>
  <c r="CE75" i="33"/>
  <c r="CE151" i="33"/>
  <c r="DU121" i="33"/>
  <c r="DU167" i="33" s="1"/>
  <c r="DU132" i="33"/>
  <c r="DZ127" i="33"/>
  <c r="DZ173" i="33" s="1"/>
  <c r="DZ138" i="33"/>
  <c r="DM130" i="33"/>
  <c r="DM176" i="33" s="1"/>
  <c r="DM141" i="33"/>
  <c r="DM121" i="33"/>
  <c r="DM167" i="33" s="1"/>
  <c r="DM132" i="33"/>
  <c r="DJ133" i="33"/>
  <c r="DJ122" i="33"/>
  <c r="DJ168" i="33" s="1"/>
  <c r="CY138" i="33"/>
  <c r="CY127" i="33"/>
  <c r="CY173" i="33" s="1"/>
  <c r="BL153" i="33"/>
  <c r="BL160" i="33" s="1"/>
  <c r="BL161" i="33" s="1"/>
  <c r="BL162" i="33" s="1"/>
  <c r="BL77" i="33"/>
  <c r="AY125" i="33"/>
  <c r="AY171" i="33" s="1"/>
  <c r="AY136" i="33"/>
  <c r="DG121" i="33"/>
  <c r="DG167" i="33" s="1"/>
  <c r="DG132" i="33"/>
  <c r="BK129" i="33"/>
  <c r="BK175" i="33" s="1"/>
  <c r="BK140" i="33"/>
  <c r="BB133" i="33"/>
  <c r="BB122" i="33"/>
  <c r="BB168" i="33" s="1"/>
  <c r="EA124" i="33"/>
  <c r="EA170" i="33" s="1"/>
  <c r="EA135" i="33"/>
  <c r="CI127" i="33"/>
  <c r="CI173" i="33" s="1"/>
  <c r="CI138" i="33"/>
  <c r="CW127" i="33"/>
  <c r="CW173" i="33" s="1"/>
  <c r="CW138" i="33"/>
  <c r="DF124" i="33"/>
  <c r="DF170" i="33" s="1"/>
  <c r="DF135" i="33"/>
  <c r="AX125" i="33"/>
  <c r="AX171" i="33" s="1"/>
  <c r="AX136" i="33"/>
  <c r="BG125" i="33"/>
  <c r="BG171" i="33" s="1"/>
  <c r="BG136" i="33"/>
  <c r="BP129" i="33"/>
  <c r="BP175" i="33" s="1"/>
  <c r="BP140" i="33"/>
  <c r="BJ136" i="33"/>
  <c r="BJ125" i="33"/>
  <c r="BJ171" i="33" s="1"/>
  <c r="CG122" i="33"/>
  <c r="CG168" i="33" s="1"/>
  <c r="CG133" i="33"/>
  <c r="BP126" i="33"/>
  <c r="BP172" i="33" s="1"/>
  <c r="BP137" i="33"/>
  <c r="CR121" i="33"/>
  <c r="CR167" i="33" s="1"/>
  <c r="CR132" i="33"/>
  <c r="DO124" i="33"/>
  <c r="DO170" i="33" s="1"/>
  <c r="DO135" i="33"/>
  <c r="CE127" i="33"/>
  <c r="CE173" i="33" s="1"/>
  <c r="CE138" i="33"/>
  <c r="DM123" i="33"/>
  <c r="DM169" i="33" s="1"/>
  <c r="DM134" i="33"/>
  <c r="CN125" i="33"/>
  <c r="CN171" i="33" s="1"/>
  <c r="CN136" i="33"/>
  <c r="BL128" i="33"/>
  <c r="BL174" i="33" s="1"/>
  <c r="BL139" i="33"/>
  <c r="DS122" i="33"/>
  <c r="DS168" i="33" s="1"/>
  <c r="DS133" i="33"/>
  <c r="DL129" i="33"/>
  <c r="DL175" i="33" s="1"/>
  <c r="DL140" i="33"/>
  <c r="DR129" i="33"/>
  <c r="DR175" i="33" s="1"/>
  <c r="DR140" i="33"/>
  <c r="CC128" i="33"/>
  <c r="CC174" i="33" s="1"/>
  <c r="CC139" i="33"/>
  <c r="CM125" i="33"/>
  <c r="CM171" i="33" s="1"/>
  <c r="CM136" i="33"/>
  <c r="DH128" i="33"/>
  <c r="DH174" i="33" s="1"/>
  <c r="DH139" i="33"/>
  <c r="DT130" i="33"/>
  <c r="DT176" i="33" s="1"/>
  <c r="DT141" i="33"/>
  <c r="BS129" i="33"/>
  <c r="BS175" i="33" s="1"/>
  <c r="BS140" i="33"/>
  <c r="DQ122" i="33"/>
  <c r="DQ168" i="33" s="1"/>
  <c r="DQ133" i="33"/>
  <c r="BN137" i="33"/>
  <c r="BN126" i="33"/>
  <c r="BN172" i="33" s="1"/>
  <c r="BG153" i="33"/>
  <c r="BG160" i="33" s="1"/>
  <c r="BG161" i="33" s="1"/>
  <c r="BG162" i="33" s="1"/>
  <c r="BG77" i="33"/>
  <c r="CT125" i="33"/>
  <c r="CT171" i="33" s="1"/>
  <c r="CT136" i="33"/>
  <c r="CB125" i="33"/>
  <c r="CB171" i="33" s="1"/>
  <c r="CB136" i="33"/>
  <c r="DU137" i="33"/>
  <c r="DU126" i="33"/>
  <c r="DU172" i="33" s="1"/>
  <c r="CO126" i="33"/>
  <c r="CO172" i="33" s="1"/>
  <c r="CO137" i="33"/>
  <c r="DE135" i="33"/>
  <c r="DE124" i="33"/>
  <c r="DE170" i="33" s="1"/>
  <c r="DR125" i="33"/>
  <c r="DR171" i="33" s="1"/>
  <c r="DR136" i="33"/>
  <c r="BI126" i="33"/>
  <c r="BI172" i="33" s="1"/>
  <c r="BI137" i="33"/>
  <c r="DR128" i="33"/>
  <c r="DR174" i="33" s="1"/>
  <c r="DR139" i="33"/>
  <c r="AX139" i="33"/>
  <c r="AX128" i="33"/>
  <c r="AX174" i="33" s="1"/>
  <c r="BS153" i="33"/>
  <c r="BS77" i="33"/>
  <c r="BF127" i="33"/>
  <c r="BF173" i="33" s="1"/>
  <c r="BF138" i="33"/>
  <c r="CQ135" i="33"/>
  <c r="CQ124" i="33"/>
  <c r="CQ170" i="33" s="1"/>
  <c r="EB129" i="33"/>
  <c r="EB175" i="33" s="1"/>
  <c r="EB140" i="33"/>
  <c r="EB127" i="33"/>
  <c r="EB173" i="33" s="1"/>
  <c r="EB138" i="33"/>
  <c r="DT122" i="33"/>
  <c r="DT168" i="33" s="1"/>
  <c r="DT133" i="33"/>
  <c r="CU127" i="33"/>
  <c r="CU173" i="33" s="1"/>
  <c r="CU138" i="33"/>
  <c r="EA134" i="33"/>
  <c r="EA123" i="33"/>
  <c r="EA169" i="33" s="1"/>
  <c r="DT129" i="33"/>
  <c r="DT175" i="33" s="1"/>
  <c r="DT140" i="33"/>
  <c r="CC126" i="33"/>
  <c r="CC172" i="33" s="1"/>
  <c r="CC137" i="33"/>
  <c r="CT127" i="33"/>
  <c r="CT173" i="33" s="1"/>
  <c r="CT138" i="33"/>
  <c r="BN151" i="33"/>
  <c r="BN75" i="33"/>
  <c r="CF129" i="33"/>
  <c r="CF175" i="33" s="1"/>
  <c r="CF140" i="33"/>
  <c r="DX126" i="33"/>
  <c r="DX172" i="33" s="1"/>
  <c r="DX137" i="33"/>
  <c r="CC153" i="33"/>
  <c r="CC77" i="33"/>
  <c r="CI122" i="33"/>
  <c r="CI168" i="33" s="1"/>
  <c r="CI133" i="33"/>
  <c r="AW77" i="33"/>
  <c r="AW153" i="33"/>
  <c r="CV152" i="33"/>
  <c r="CV76" i="33"/>
  <c r="CX128" i="33"/>
  <c r="CX174" i="33" s="1"/>
  <c r="CX139" i="33"/>
  <c r="CJ129" i="33"/>
  <c r="CJ175" i="33" s="1"/>
  <c r="CJ140" i="33"/>
  <c r="DL124" i="33"/>
  <c r="DL170" i="33" s="1"/>
  <c r="DL135" i="33"/>
  <c r="CF125" i="33"/>
  <c r="CF171" i="33" s="1"/>
  <c r="CF136" i="33"/>
  <c r="CW124" i="33"/>
  <c r="CW170" i="33" s="1"/>
  <c r="CW135" i="33"/>
  <c r="BH122" i="33"/>
  <c r="BH168" i="33" s="1"/>
  <c r="BH133" i="33"/>
  <c r="BD125" i="33"/>
  <c r="BD171" i="33" s="1"/>
  <c r="BD136" i="33"/>
  <c r="CP126" i="33"/>
  <c r="CP172" i="33" s="1"/>
  <c r="CP137" i="33"/>
  <c r="BE129" i="33"/>
  <c r="BE175" i="33" s="1"/>
  <c r="BE140" i="33"/>
  <c r="CR122" i="33"/>
  <c r="CR168" i="33" s="1"/>
  <c r="CR133" i="33"/>
  <c r="BS133" i="33"/>
  <c r="BS122" i="33"/>
  <c r="BS168" i="33" s="1"/>
  <c r="DK129" i="33"/>
  <c r="DK175" i="33" s="1"/>
  <c r="DK140" i="33"/>
  <c r="BG124" i="33"/>
  <c r="BG170" i="33" s="1"/>
  <c r="BG135" i="33"/>
  <c r="BP133" i="33"/>
  <c r="BP122" i="33"/>
  <c r="BP168" i="33" s="1"/>
  <c r="CU134" i="33"/>
  <c r="CU123" i="33"/>
  <c r="CU169" i="33" s="1"/>
  <c r="CE123" i="33"/>
  <c r="CE169" i="33" s="1"/>
  <c r="CE134" i="33"/>
  <c r="DV133" i="33"/>
  <c r="DV122" i="33"/>
  <c r="DV168" i="33" s="1"/>
  <c r="CM126" i="33"/>
  <c r="CM172" i="33" s="1"/>
  <c r="CM137" i="33"/>
  <c r="BN135" i="33"/>
  <c r="BN124" i="33"/>
  <c r="BN170" i="33" s="1"/>
  <c r="BF128" i="33"/>
  <c r="BF174" i="33" s="1"/>
  <c r="BF139" i="33"/>
  <c r="DH127" i="33"/>
  <c r="DH173" i="33" s="1"/>
  <c r="DH138" i="33"/>
  <c r="DH124" i="33"/>
  <c r="DH170" i="33" s="1"/>
  <c r="DH135" i="33"/>
  <c r="CV129" i="33"/>
  <c r="CV175" i="33" s="1"/>
  <c r="CV140" i="33"/>
  <c r="DV137" i="33"/>
  <c r="DV126" i="33"/>
  <c r="DV172" i="33" s="1"/>
  <c r="DN124" i="33"/>
  <c r="DN170" i="33" s="1"/>
  <c r="DN135" i="33"/>
  <c r="BM127" i="33"/>
  <c r="BM173" i="33" s="1"/>
  <c r="BM138" i="33"/>
  <c r="BN127" i="33"/>
  <c r="BN173" i="33" s="1"/>
  <c r="BN138" i="33"/>
  <c r="BH127" i="33"/>
  <c r="BH173" i="33" s="1"/>
  <c r="BH138" i="33"/>
  <c r="CD125" i="33"/>
  <c r="CD171" i="33" s="1"/>
  <c r="CD136" i="33"/>
  <c r="DI139" i="33"/>
  <c r="DI128" i="33"/>
  <c r="DI174" i="33" s="1"/>
  <c r="CK151" i="33"/>
  <c r="CK75" i="33"/>
  <c r="BL122" i="33"/>
  <c r="BL168" i="33" s="1"/>
  <c r="BL133" i="33"/>
  <c r="CQ123" i="33"/>
  <c r="CQ169" i="33" s="1"/>
  <c r="CQ134" i="33"/>
  <c r="CS122" i="33"/>
  <c r="CS168" i="33" s="1"/>
  <c r="CS133" i="33"/>
  <c r="BK126" i="33"/>
  <c r="BK172" i="33" s="1"/>
  <c r="BK137" i="33"/>
  <c r="DZ121" i="33"/>
  <c r="DZ167" i="33" s="1"/>
  <c r="DZ132" i="33"/>
  <c r="CT130" i="33"/>
  <c r="CT176" i="33" s="1"/>
  <c r="CT141" i="33"/>
  <c r="CQ140" i="33"/>
  <c r="CQ129" i="33"/>
  <c r="CQ175" i="33" s="1"/>
  <c r="CB122" i="33"/>
  <c r="CB168" i="33" s="1"/>
  <c r="CB133" i="33"/>
  <c r="CJ125" i="33"/>
  <c r="CJ171" i="33" s="1"/>
  <c r="CJ136" i="33"/>
  <c r="AZ136" i="33"/>
  <c r="AZ125" i="33"/>
  <c r="AZ171" i="33" s="1"/>
  <c r="DT123" i="33"/>
  <c r="DT169" i="33" s="1"/>
  <c r="DT134" i="33"/>
  <c r="DQ127" i="33"/>
  <c r="DQ173" i="33" s="1"/>
  <c r="DQ138" i="33"/>
  <c r="CN137" i="33"/>
  <c r="CN126" i="33"/>
  <c r="CN172" i="33" s="1"/>
  <c r="CQ122" i="33"/>
  <c r="CQ168" i="33" s="1"/>
  <c r="CQ133" i="33"/>
  <c r="CE133" i="33"/>
  <c r="CE122" i="33"/>
  <c r="CE168" i="33" s="1"/>
  <c r="BL141" i="33"/>
  <c r="BL130" i="33"/>
  <c r="BL176" i="33" s="1"/>
  <c r="CN139" i="33"/>
  <c r="CN128" i="33"/>
  <c r="CN174" i="33" s="1"/>
  <c r="CH122" i="33"/>
  <c r="CH168" i="33" s="1"/>
  <c r="CH133" i="33"/>
  <c r="CR127" i="33"/>
  <c r="CR173" i="33" s="1"/>
  <c r="CR138" i="33"/>
  <c r="DI123" i="33"/>
  <c r="DI169" i="33" s="1"/>
  <c r="DI134" i="33"/>
  <c r="BM126" i="33"/>
  <c r="BM172" i="33" s="1"/>
  <c r="BM137" i="33"/>
  <c r="CX127" i="33"/>
  <c r="CX173" i="33" s="1"/>
  <c r="CX138" i="33"/>
  <c r="AX127" i="33"/>
  <c r="AX173" i="33" s="1"/>
  <c r="AX138" i="33"/>
  <c r="BQ127" i="33"/>
  <c r="BQ173" i="33" s="1"/>
  <c r="BQ138" i="33"/>
  <c r="CL124" i="33"/>
  <c r="CL170" i="33" s="1"/>
  <c r="CL135" i="33"/>
  <c r="AY127" i="33"/>
  <c r="AY173" i="33" s="1"/>
  <c r="AY138" i="33"/>
  <c r="DU135" i="33"/>
  <c r="DU124" i="33"/>
  <c r="DU170" i="33" s="1"/>
  <c r="DO134" i="33"/>
  <c r="DO123" i="33"/>
  <c r="DO169" i="33" s="1"/>
  <c r="CE126" i="33"/>
  <c r="CE172" i="33" s="1"/>
  <c r="CE137" i="33"/>
  <c r="CJ127" i="33"/>
  <c r="CJ173" i="33" s="1"/>
  <c r="CJ138" i="33"/>
  <c r="BI77" i="33"/>
  <c r="BI153" i="33"/>
  <c r="BI160" i="33" s="1"/>
  <c r="BI161" i="33" s="1"/>
  <c r="BI162" i="33" s="1"/>
  <c r="AV126" i="33"/>
  <c r="AV172" i="33" s="1"/>
  <c r="AV137" i="33"/>
  <c r="CP124" i="33"/>
  <c r="CP170" i="33" s="1"/>
  <c r="CP135" i="33"/>
  <c r="CR125" i="33"/>
  <c r="CR171" i="33" s="1"/>
  <c r="CR136" i="33"/>
  <c r="CU128" i="33"/>
  <c r="CU174" i="33" s="1"/>
  <c r="CU139" i="33"/>
  <c r="DN122" i="33"/>
  <c r="DN168" i="33" s="1"/>
  <c r="DN133" i="33"/>
  <c r="CX122" i="33"/>
  <c r="CX168" i="33" s="1"/>
  <c r="CX133" i="33"/>
  <c r="DS125" i="33"/>
  <c r="DS171" i="33" s="1"/>
  <c r="DS136" i="33"/>
  <c r="DW127" i="33"/>
  <c r="DW173" i="33" s="1"/>
  <c r="DW138" i="33"/>
  <c r="DT128" i="33"/>
  <c r="DT174" i="33" s="1"/>
  <c r="DT139" i="33"/>
  <c r="CT129" i="33"/>
  <c r="CT175" i="33" s="1"/>
  <c r="CT140" i="33"/>
  <c r="BO135" i="33"/>
  <c r="BO124" i="33"/>
  <c r="BO170" i="33" s="1"/>
  <c r="BA126" i="33"/>
  <c r="BA172" i="33" s="1"/>
  <c r="BA137" i="33"/>
  <c r="CU125" i="33"/>
  <c r="CU171" i="33" s="1"/>
  <c r="CU136" i="33"/>
  <c r="CI126" i="33"/>
  <c r="CI172" i="33" s="1"/>
  <c r="CI137" i="33"/>
  <c r="BR136" i="33"/>
  <c r="BR125" i="33"/>
  <c r="BR171" i="33" s="1"/>
  <c r="CP130" i="33"/>
  <c r="CP176" i="33" s="1"/>
  <c r="CP141" i="33"/>
  <c r="CO129" i="33"/>
  <c r="CO175" i="33" s="1"/>
  <c r="CO140" i="33"/>
  <c r="CD130" i="33"/>
  <c r="CD176" i="33" s="1"/>
  <c r="CD141" i="33"/>
  <c r="EA127" i="33"/>
  <c r="EA173" i="33" s="1"/>
  <c r="EA138" i="33"/>
  <c r="CB129" i="33"/>
  <c r="CB175" i="33" s="1"/>
  <c r="CB140" i="33"/>
  <c r="BL129" i="33"/>
  <c r="BL175" i="33" s="1"/>
  <c r="BL140" i="33"/>
  <c r="BM121" i="33"/>
  <c r="BM167" i="33" s="1"/>
  <c r="BM132" i="33"/>
  <c r="AW141" i="33"/>
  <c r="AW130" i="33"/>
  <c r="AW176" i="33" s="1"/>
  <c r="CO132" i="33"/>
  <c r="CO121" i="33"/>
  <c r="CO167" i="33" s="1"/>
  <c r="DJ134" i="33"/>
  <c r="DJ123" i="33"/>
  <c r="DJ169" i="33" s="1"/>
  <c r="DY130" i="33"/>
  <c r="DY176" i="33" s="1"/>
  <c r="DY141" i="33"/>
  <c r="BC141" i="33"/>
  <c r="BC130" i="33"/>
  <c r="BC176" i="33" s="1"/>
  <c r="DV134" i="33"/>
  <c r="DV123" i="33"/>
  <c r="DV169" i="33" s="1"/>
  <c r="DQ137" i="33"/>
  <c r="DQ126" i="33"/>
  <c r="DQ172" i="33" s="1"/>
  <c r="CQ138" i="33"/>
  <c r="CQ127" i="33"/>
  <c r="CQ173" i="33" s="1"/>
  <c r="CF139" i="33"/>
  <c r="CF128" i="33"/>
  <c r="CF174" i="33" s="1"/>
  <c r="BO130" i="33"/>
  <c r="BO176" i="33" s="1"/>
  <c r="BO141" i="33"/>
  <c r="BA122" i="33"/>
  <c r="BA168" i="33" s="1"/>
  <c r="BA133" i="33"/>
  <c r="BB128" i="33"/>
  <c r="BB174" i="33" s="1"/>
  <c r="BB139" i="33"/>
  <c r="CU124" i="33"/>
  <c r="CU170" i="33" s="1"/>
  <c r="CU135" i="33"/>
  <c r="BH129" i="33"/>
  <c r="BH175" i="33" s="1"/>
  <c r="BH140" i="33"/>
  <c r="CO124" i="33"/>
  <c r="CO170" i="33" s="1"/>
  <c r="CO135" i="33"/>
  <c r="DL127" i="33"/>
  <c r="DL173" i="33" s="1"/>
  <c r="DL138" i="33"/>
  <c r="CS129" i="33"/>
  <c r="CS175" i="33" s="1"/>
  <c r="CS140" i="33"/>
  <c r="DJ126" i="33"/>
  <c r="DJ172" i="33" s="1"/>
  <c r="DJ137" i="33"/>
  <c r="AY130" i="33"/>
  <c r="AY176" i="33" s="1"/>
  <c r="AY141" i="33"/>
  <c r="DW126" i="33"/>
  <c r="DW172" i="33" s="1"/>
  <c r="DW137" i="33"/>
  <c r="DT125" i="33"/>
  <c r="DT171" i="33" s="1"/>
  <c r="DT136" i="33"/>
  <c r="CK141" i="33"/>
  <c r="CK130" i="33"/>
  <c r="CK176" i="33" s="1"/>
  <c r="CO130" i="33"/>
  <c r="CO176" i="33" s="1"/>
  <c r="CO141" i="33"/>
  <c r="EA141" i="33"/>
  <c r="EA130" i="33"/>
  <c r="EA176" i="33" s="1"/>
  <c r="DI121" i="33"/>
  <c r="DI167" i="33" s="1"/>
  <c r="DI132" i="33"/>
  <c r="BL125" i="33"/>
  <c r="BL171" i="33" s="1"/>
  <c r="BL136" i="33"/>
  <c r="AV122" i="33"/>
  <c r="AV168" i="33" s="1"/>
  <c r="AV133" i="33"/>
  <c r="CK137" i="33"/>
  <c r="CK126" i="33"/>
  <c r="CK172" i="33" s="1"/>
  <c r="DP124" i="33"/>
  <c r="DP170" i="33" s="1"/>
  <c r="DP135" i="33"/>
  <c r="BJ130" i="33"/>
  <c r="BJ176" i="33" s="1"/>
  <c r="BJ141" i="33"/>
  <c r="CH128" i="33"/>
  <c r="CH174" i="33" s="1"/>
  <c r="CH139" i="33"/>
  <c r="BE151" i="33"/>
  <c r="BE75" i="33"/>
  <c r="DO139" i="33"/>
  <c r="DO128" i="33"/>
  <c r="DO174" i="33" s="1"/>
  <c r="BA130" i="33"/>
  <c r="BA176" i="33" s="1"/>
  <c r="BA141" i="33"/>
  <c r="BC151" i="33"/>
  <c r="BC75" i="33"/>
  <c r="DW124" i="33"/>
  <c r="DW170" i="33" s="1"/>
  <c r="DW135" i="33"/>
  <c r="DK121" i="33"/>
  <c r="DK167" i="33" s="1"/>
  <c r="DK132" i="33"/>
  <c r="BD153" i="33"/>
  <c r="BD77" i="33"/>
  <c r="BE130" i="33"/>
  <c r="BE176" i="33" s="1"/>
  <c r="BE141" i="33"/>
  <c r="DF123" i="33"/>
  <c r="DF169" i="33" s="1"/>
  <c r="DF134" i="33"/>
  <c r="CN132" i="33"/>
  <c r="CN121" i="33"/>
  <c r="CN167" i="33" s="1"/>
  <c r="EB136" i="33"/>
  <c r="EB125" i="33"/>
  <c r="EB171" i="33" s="1"/>
  <c r="DU130" i="33"/>
  <c r="DU176" i="33" s="1"/>
  <c r="DU141" i="33"/>
  <c r="DG138" i="33"/>
  <c r="DG127" i="33"/>
  <c r="DG173" i="33" s="1"/>
  <c r="BM124" i="33"/>
  <c r="BM170" i="33" s="1"/>
  <c r="BM135" i="33"/>
  <c r="CM123" i="33"/>
  <c r="CM169" i="33" s="1"/>
  <c r="CM134" i="33"/>
  <c r="CD138" i="33"/>
  <c r="CD127" i="33"/>
  <c r="CD173" i="33" s="1"/>
  <c r="DT132" i="33"/>
  <c r="DT121" i="33"/>
  <c r="DT167" i="33" s="1"/>
  <c r="BQ129" i="33"/>
  <c r="BQ175" i="33" s="1"/>
  <c r="BQ140" i="33"/>
  <c r="DI122" i="33"/>
  <c r="DI168" i="33" s="1"/>
  <c r="DI133" i="33"/>
  <c r="CB124" i="33"/>
  <c r="CB170" i="33" s="1"/>
  <c r="CB135" i="33"/>
  <c r="BI121" i="33"/>
  <c r="BI167" i="33" s="1"/>
  <c r="BI132" i="33"/>
  <c r="CG126" i="33"/>
  <c r="CG172" i="33" s="1"/>
  <c r="CG137" i="33"/>
  <c r="DU122" i="33"/>
  <c r="DU168" i="33" s="1"/>
  <c r="DU133" i="33"/>
  <c r="BD137" i="33"/>
  <c r="BD126" i="33"/>
  <c r="BD172" i="33" s="1"/>
  <c r="CU137" i="33"/>
  <c r="CU126" i="33"/>
  <c r="CU172" i="33" s="1"/>
  <c r="BR135" i="33"/>
  <c r="BR124" i="33"/>
  <c r="BR170" i="33" s="1"/>
  <c r="CL141" i="33"/>
  <c r="CL130" i="33"/>
  <c r="CL176" i="33" s="1"/>
  <c r="AW136" i="33"/>
  <c r="AW125" i="33"/>
  <c r="AW171" i="33" s="1"/>
  <c r="O258" i="33"/>
  <c r="BO151" i="33"/>
  <c r="BO160" i="33" s="1"/>
  <c r="BO161" i="33" s="1"/>
  <c r="BO162" i="33" s="1"/>
  <c r="BO75" i="33"/>
  <c r="BB151" i="33"/>
  <c r="BB75" i="33"/>
  <c r="CS132" i="33"/>
  <c r="CS121" i="33"/>
  <c r="CS167" i="33" s="1"/>
  <c r="BB153" i="33"/>
  <c r="BB77" i="33"/>
  <c r="DH122" i="33"/>
  <c r="DH168" i="33" s="1"/>
  <c r="DH133" i="33"/>
  <c r="CF138" i="33"/>
  <c r="CF127" i="33"/>
  <c r="CF173" i="33" s="1"/>
  <c r="CJ122" i="33"/>
  <c r="CJ168" i="33" s="1"/>
  <c r="CJ133" i="33"/>
  <c r="DN128" i="33"/>
  <c r="DN174" i="33" s="1"/>
  <c r="DN139" i="33"/>
  <c r="BG128" i="33"/>
  <c r="BG174" i="33" s="1"/>
  <c r="BG139" i="33"/>
  <c r="DP126" i="33"/>
  <c r="DP172" i="33" s="1"/>
  <c r="DP137" i="33"/>
  <c r="DY121" i="33"/>
  <c r="DY167" i="33" s="1"/>
  <c r="DY132" i="33"/>
  <c r="CL140" i="33"/>
  <c r="CL129" i="33"/>
  <c r="CL175" i="33" s="1"/>
  <c r="BC124" i="33"/>
  <c r="BC170" i="33" s="1"/>
  <c r="BC135" i="33"/>
  <c r="CY75" i="33"/>
  <c r="CY151" i="33"/>
  <c r="BJ122" i="33"/>
  <c r="BJ168" i="33" s="1"/>
  <c r="BJ133" i="33"/>
  <c r="BJ132" i="33"/>
  <c r="BJ121" i="33"/>
  <c r="BJ167" i="33" s="1"/>
  <c r="BK125" i="33"/>
  <c r="BK171" i="33" s="1"/>
  <c r="BK136" i="33"/>
  <c r="DT127" i="33"/>
  <c r="DT173" i="33" s="1"/>
  <c r="DT138" i="33"/>
  <c r="BN140" i="33"/>
  <c r="BN129" i="33"/>
  <c r="BN175" i="33" s="1"/>
  <c r="CN122" i="33"/>
  <c r="CN168" i="33" s="1"/>
  <c r="CN133" i="33"/>
  <c r="BL121" i="33"/>
  <c r="BL167" i="33" s="1"/>
  <c r="BL132" i="33"/>
  <c r="CM130" i="33"/>
  <c r="CM176" i="33" s="1"/>
  <c r="CM141" i="33"/>
  <c r="DN137" i="33"/>
  <c r="DN126" i="33"/>
  <c r="DN172" i="33" s="1"/>
  <c r="DK122" i="33"/>
  <c r="DK168" i="33" s="1"/>
  <c r="DK133" i="33"/>
  <c r="BP125" i="33"/>
  <c r="BP171" i="33" s="1"/>
  <c r="BP136" i="33"/>
  <c r="CW123" i="33"/>
  <c r="CW169" i="33" s="1"/>
  <c r="CW134" i="33"/>
  <c r="CU133" i="33"/>
  <c r="CU122" i="33"/>
  <c r="CU168" i="33" s="1"/>
  <c r="BD133" i="33"/>
  <c r="BD122" i="33"/>
  <c r="BD168" i="33" s="1"/>
  <c r="CD126" i="33"/>
  <c r="CD172" i="33" s="1"/>
  <c r="CD137" i="33"/>
  <c r="DH140" i="33"/>
  <c r="DH129" i="33"/>
  <c r="DH175" i="33" s="1"/>
  <c r="DX122" i="33"/>
  <c r="DX168" i="33" s="1"/>
  <c r="DX133" i="33"/>
  <c r="BI130" i="33"/>
  <c r="BI176" i="33" s="1"/>
  <c r="BI141" i="33"/>
  <c r="CG130" i="33"/>
  <c r="CG176" i="33" s="1"/>
  <c r="CG141" i="33"/>
  <c r="CI140" i="33"/>
  <c r="CI129" i="33"/>
  <c r="CI175" i="33" s="1"/>
  <c r="BG129" i="33"/>
  <c r="BG175" i="33" s="1"/>
  <c r="BG140" i="33"/>
  <c r="BE139" i="33"/>
  <c r="BE128" i="33"/>
  <c r="BE174" i="33" s="1"/>
  <c r="DR127" i="33"/>
  <c r="DR173" i="33" s="1"/>
  <c r="DR138" i="33"/>
  <c r="DE128" i="33"/>
  <c r="DE174" i="33" s="1"/>
  <c r="DE139" i="33"/>
  <c r="DJ124" i="33"/>
  <c r="DJ170" i="33" s="1"/>
  <c r="DJ135" i="33"/>
  <c r="DY135" i="33"/>
  <c r="DY124" i="33"/>
  <c r="DY170" i="33" s="1"/>
  <c r="BF129" i="33"/>
  <c r="BF175" i="33" s="1"/>
  <c r="BF140" i="33"/>
  <c r="BO128" i="33"/>
  <c r="BO174" i="33" s="1"/>
  <c r="BO139" i="33"/>
  <c r="DX125" i="33"/>
  <c r="DX171" i="33" s="1"/>
  <c r="DX136" i="33"/>
  <c r="BQ137" i="33"/>
  <c r="BQ126" i="33"/>
  <c r="BQ172" i="33" s="1"/>
  <c r="DH125" i="33"/>
  <c r="DH171" i="33" s="1"/>
  <c r="DH136" i="33"/>
  <c r="DR122" i="33"/>
  <c r="DR168" i="33" s="1"/>
  <c r="DR133" i="33"/>
  <c r="CD129" i="33"/>
  <c r="CD175" i="33" s="1"/>
  <c r="CD140" i="33"/>
  <c r="EA126" i="33"/>
  <c r="EA172" i="33" s="1"/>
  <c r="EA137" i="33"/>
  <c r="DG128" i="33"/>
  <c r="DG174" i="33" s="1"/>
  <c r="DG139" i="33"/>
  <c r="AV127" i="33"/>
  <c r="AV173" i="33" s="1"/>
  <c r="AV138" i="33"/>
  <c r="CW139" i="33"/>
  <c r="CW128" i="33"/>
  <c r="CW174" i="33" s="1"/>
  <c r="BE127" i="33"/>
  <c r="BE173" i="33" s="1"/>
  <c r="BE138" i="33"/>
  <c r="BP128" i="33"/>
  <c r="BP174" i="33" s="1"/>
  <c r="BP139" i="33"/>
  <c r="CS124" i="33"/>
  <c r="CS170" i="33" s="1"/>
  <c r="CS135" i="33"/>
  <c r="CC130" i="33"/>
  <c r="CC176" i="33" s="1"/>
  <c r="CC141" i="33"/>
  <c r="BS137" i="33"/>
  <c r="BS126" i="33"/>
  <c r="BS172" i="33" s="1"/>
  <c r="DH121" i="33"/>
  <c r="DH167" i="33" s="1"/>
  <c r="DH132" i="33"/>
  <c r="EB134" i="33"/>
  <c r="EB123" i="33"/>
  <c r="EB169" i="33" s="1"/>
  <c r="DI135" i="33"/>
  <c r="DI124" i="33"/>
  <c r="DI170" i="33" s="1"/>
  <c r="DQ141" i="33"/>
  <c r="DQ130" i="33"/>
  <c r="DQ176" i="33" s="1"/>
  <c r="BQ124" i="33"/>
  <c r="BQ170" i="33" s="1"/>
  <c r="DK134" i="33"/>
  <c r="DK123" i="33"/>
  <c r="DK169" i="33" s="1"/>
  <c r="CU151" i="33"/>
  <c r="CU75" i="33"/>
  <c r="CJ151" i="33"/>
  <c r="CJ75" i="33"/>
  <c r="CK127" i="33"/>
  <c r="CK173" i="33" s="1"/>
  <c r="CK138" i="33"/>
  <c r="CH151" i="33"/>
  <c r="CH75" i="33"/>
  <c r="DL130" i="33"/>
  <c r="DL176" i="33" s="1"/>
  <c r="DL141" i="33"/>
  <c r="DZ141" i="33"/>
  <c r="DZ130" i="33"/>
  <c r="DZ176" i="33" s="1"/>
  <c r="DP123" i="33"/>
  <c r="DP169" i="33" s="1"/>
  <c r="DP134" i="33"/>
  <c r="DX129" i="33"/>
  <c r="DX175" i="33" s="1"/>
  <c r="DX140" i="33"/>
  <c r="BM122" i="33"/>
  <c r="BM168" i="33" s="1"/>
  <c r="BM133" i="33"/>
  <c r="CK122" i="33"/>
  <c r="CK168" i="33" s="1"/>
  <c r="CK133" i="33"/>
  <c r="AX153" i="33"/>
  <c r="AX77" i="33"/>
  <c r="BQ153" i="33"/>
  <c r="BQ77" i="33"/>
  <c r="BH130" i="33"/>
  <c r="BH176" i="33" s="1"/>
  <c r="BH141" i="33"/>
  <c r="AY153" i="33"/>
  <c r="AY77" i="33"/>
  <c r="DU123" i="33"/>
  <c r="DU169" i="33" s="1"/>
  <c r="DU134" i="33"/>
  <c r="CK129" i="33"/>
  <c r="CK175" i="33" s="1"/>
  <c r="CK140" i="33"/>
  <c r="DI127" i="33"/>
  <c r="DI173" i="33" s="1"/>
  <c r="DI138" i="33"/>
  <c r="DF128" i="33"/>
  <c r="DF174" i="33" s="1"/>
  <c r="DF139" i="33"/>
  <c r="EB128" i="33"/>
  <c r="EB174" i="33" s="1"/>
  <c r="EB139" i="33"/>
  <c r="CJ139" i="33"/>
  <c r="CJ128" i="33"/>
  <c r="CJ174" i="33" s="1"/>
  <c r="BS130" i="33"/>
  <c r="BS176" i="33" s="1"/>
  <c r="BS141" i="33"/>
  <c r="BC122" i="33"/>
  <c r="BC168" i="33" s="1"/>
  <c r="BC133" i="33"/>
  <c r="BJ128" i="33"/>
  <c r="BJ174" i="33" s="1"/>
  <c r="BJ139" i="33"/>
  <c r="BA153" i="33"/>
  <c r="BA77" i="33"/>
  <c r="DL122" i="33"/>
  <c r="DL168" i="33" s="1"/>
  <c r="DL133" i="33"/>
  <c r="DZ122" i="33"/>
  <c r="DZ168" i="33" s="1"/>
  <c r="DZ133" i="33"/>
  <c r="DP130" i="33"/>
  <c r="DP176" i="33" s="1"/>
  <c r="DP141" i="33"/>
  <c r="DX121" i="33"/>
  <c r="DX167" i="33" s="1"/>
  <c r="DX132" i="33"/>
  <c r="L257" i="33"/>
  <c r="D266" i="33" s="1"/>
  <c r="AV135" i="33"/>
  <c r="AV124" i="33"/>
  <c r="AV170" i="33" s="1"/>
  <c r="CE124" i="33"/>
  <c r="CE170" i="33" s="1"/>
  <c r="CE135" i="33"/>
  <c r="CN140" i="33"/>
  <c r="CN129" i="33"/>
  <c r="CN175" i="33" s="1"/>
  <c r="AW126" i="33"/>
  <c r="AW172" i="33" s="1"/>
  <c r="AW137" i="33"/>
  <c r="DL126" i="33"/>
  <c r="DL172" i="33" s="1"/>
  <c r="DL137" i="33"/>
  <c r="BC129" i="33"/>
  <c r="BC175" i="33" s="1"/>
  <c r="BC140" i="33"/>
  <c r="CG139" i="33"/>
  <c r="CG128" i="33"/>
  <c r="CG174" i="33" s="1"/>
  <c r="DV130" i="33"/>
  <c r="DV176" i="33" s="1"/>
  <c r="DV141" i="33"/>
  <c r="CS123" i="33"/>
  <c r="CS169" i="33" s="1"/>
  <c r="CS134" i="33"/>
  <c r="BD130" i="33"/>
  <c r="BD176" i="33" s="1"/>
  <c r="BD141" i="33"/>
  <c r="DO121" i="33"/>
  <c r="DO167" i="33" s="1"/>
  <c r="DO132" i="33"/>
  <c r="AY122" i="33"/>
  <c r="AY168" i="33" s="1"/>
  <c r="AY133" i="33"/>
  <c r="BJ135" i="33"/>
  <c r="BJ124" i="33"/>
  <c r="BJ170" i="33" s="1"/>
  <c r="DT126" i="33"/>
  <c r="DT172" i="33" s="1"/>
  <c r="DT137" i="33"/>
  <c r="CD151" i="33"/>
  <c r="CD75" i="33"/>
  <c r="AZ129" i="33"/>
  <c r="AZ175" i="33" s="1"/>
  <c r="AZ140" i="33"/>
  <c r="EA125" i="33"/>
  <c r="EA171" i="33" s="1"/>
  <c r="EA136" i="33"/>
  <c r="DV129" i="33"/>
  <c r="DV175" i="33" s="1"/>
  <c r="DV140" i="33"/>
  <c r="CO122" i="33"/>
  <c r="CO168" i="33" s="1"/>
  <c r="CO133" i="33"/>
  <c r="CF126" i="33"/>
  <c r="CF172" i="33" s="1"/>
  <c r="CF137" i="33"/>
  <c r="CG124" i="33"/>
  <c r="CG170" i="33" s="1"/>
  <c r="CG135" i="33"/>
  <c r="CM129" i="33"/>
  <c r="CM175" i="33" s="1"/>
  <c r="CM140" i="33"/>
  <c r="CO123" i="33"/>
  <c r="CO169" i="33" s="1"/>
  <c r="CO134" i="33"/>
  <c r="BR153" i="33"/>
  <c r="BR77" i="33"/>
  <c r="DY122" i="33"/>
  <c r="DY168" i="33" s="1"/>
  <c r="DY133" i="33"/>
  <c r="DY129" i="33"/>
  <c r="DY175" i="33" s="1"/>
  <c r="DY140" i="33"/>
  <c r="CK134" i="33"/>
  <c r="CK123" i="33"/>
  <c r="CK169" i="33" s="1"/>
  <c r="DF127" i="33"/>
  <c r="DF173" i="33" s="1"/>
  <c r="DF138" i="33"/>
  <c r="BJ129" i="33"/>
  <c r="BJ175" i="33" s="1"/>
  <c r="BJ140" i="33"/>
  <c r="CQ128" i="33"/>
  <c r="CQ174" i="33" s="1"/>
  <c r="CQ139" i="33"/>
  <c r="BG130" i="33"/>
  <c r="BG176" i="33" s="1"/>
  <c r="BG141" i="33"/>
  <c r="AV153" i="33"/>
  <c r="AV77" i="33"/>
  <c r="CC129" i="33"/>
  <c r="CC175" i="33" s="1"/>
  <c r="CC140" i="33"/>
  <c r="CX77" i="33"/>
  <c r="CX153" i="33"/>
  <c r="BK128" i="33"/>
  <c r="BK174" i="33" s="1"/>
  <c r="BK139" i="33"/>
  <c r="CE125" i="33"/>
  <c r="CE171" i="33" s="1"/>
  <c r="CE136" i="33"/>
  <c r="DV128" i="33"/>
  <c r="DV174" i="33" s="1"/>
  <c r="DV139" i="33"/>
  <c r="DQ128" i="33"/>
  <c r="DQ174" i="33" s="1"/>
  <c r="DQ139" i="33"/>
  <c r="DZ139" i="33"/>
  <c r="DZ128" i="33"/>
  <c r="DZ174" i="33" s="1"/>
  <c r="DM129" i="33"/>
  <c r="DM175" i="33" s="1"/>
  <c r="DM140" i="33"/>
  <c r="BQ151" i="33"/>
  <c r="BQ75" i="33"/>
  <c r="EA122" i="33"/>
  <c r="EA168" i="33" s="1"/>
  <c r="EA133" i="33"/>
  <c r="BN125" i="33"/>
  <c r="BN171" i="33" s="1"/>
  <c r="BN136" i="33"/>
  <c r="DV121" i="33"/>
  <c r="DV167" i="33" s="1"/>
  <c r="DV132" i="33"/>
  <c r="CO127" i="33"/>
  <c r="CO173" i="33" s="1"/>
  <c r="CO138" i="33"/>
  <c r="BD129" i="33"/>
  <c r="BD175" i="33" s="1"/>
  <c r="BD140" i="33"/>
  <c r="CT137" i="33"/>
  <c r="CT126" i="33"/>
  <c r="CT172" i="33" s="1"/>
  <c r="CK124" i="33"/>
  <c r="CK170" i="33" s="1"/>
  <c r="CK135" i="33"/>
  <c r="BI124" i="33"/>
  <c r="BI170" i="33" s="1"/>
  <c r="BI135" i="33"/>
  <c r="CL127" i="33"/>
  <c r="CL173" i="33" s="1"/>
  <c r="CL138" i="33"/>
  <c r="AZ127" i="33"/>
  <c r="AZ173" i="33" s="1"/>
  <c r="AZ138" i="33"/>
  <c r="DF125" i="33"/>
  <c r="DF171" i="33" s="1"/>
  <c r="DF136" i="33"/>
  <c r="CK128" i="33"/>
  <c r="CK174" i="33" s="1"/>
  <c r="CK139" i="33"/>
  <c r="AX122" i="33"/>
  <c r="AX168" i="33" s="1"/>
  <c r="AX133" i="33"/>
  <c r="CO125" i="33"/>
  <c r="CO171" i="33" s="1"/>
  <c r="CO136" i="33"/>
  <c r="DR124" i="33"/>
  <c r="DR170" i="33" s="1"/>
  <c r="DR135" i="33"/>
  <c r="DU138" i="33"/>
  <c r="DU127" i="33"/>
  <c r="DU173" i="33" s="1"/>
  <c r="CP127" i="33"/>
  <c r="CP173" i="33" s="1"/>
  <c r="CP138" i="33"/>
  <c r="BC137" i="33"/>
  <c r="BC126" i="33"/>
  <c r="BC172" i="33" s="1"/>
  <c r="AY137" i="33"/>
  <c r="AY126" i="33"/>
  <c r="AY172" i="33" s="1"/>
  <c r="BE125" i="33"/>
  <c r="BE171" i="33" s="1"/>
  <c r="BE136" i="33"/>
  <c r="BG122" i="33"/>
  <c r="BG168" i="33" s="1"/>
  <c r="BG133" i="33"/>
  <c r="DF129" i="33"/>
  <c r="DF175" i="33" s="1"/>
  <c r="DF140" i="33"/>
  <c r="CG125" i="33"/>
  <c r="CG171" i="33" s="1"/>
  <c r="CG136" i="33"/>
  <c r="CG127" i="33"/>
  <c r="CG173" i="33" s="1"/>
  <c r="CG138" i="33"/>
  <c r="AW151" i="33"/>
  <c r="AW75" i="33"/>
  <c r="CP136" i="33"/>
  <c r="CP125" i="33"/>
  <c r="CP171" i="33" s="1"/>
  <c r="BS127" i="33"/>
  <c r="BS173" i="33" s="1"/>
  <c r="BS138" i="33"/>
  <c r="DS128" i="33"/>
  <c r="DS174" i="33" s="1"/>
  <c r="DS139" i="33"/>
  <c r="DQ134" i="33"/>
  <c r="DQ123" i="33"/>
  <c r="DQ169" i="33" s="1"/>
  <c r="CP122" i="33"/>
  <c r="CP168" i="33" s="1"/>
  <c r="CP133" i="33"/>
  <c r="BQ128" i="33"/>
  <c r="BQ174" i="33" s="1"/>
  <c r="BQ139" i="33"/>
  <c r="BI128" i="33"/>
  <c r="BI174" i="33" s="1"/>
  <c r="BI139" i="33"/>
  <c r="DQ135" i="33"/>
  <c r="DQ124" i="33"/>
  <c r="DQ170" i="33" s="1"/>
  <c r="BH128" i="33"/>
  <c r="BH174" i="33" s="1"/>
  <c r="BH139" i="33"/>
  <c r="BH126" i="33"/>
  <c r="BH172" i="33" s="1"/>
  <c r="BH137" i="33"/>
  <c r="DE130" i="33"/>
  <c r="DE176" i="33" s="1"/>
  <c r="DE141" i="33"/>
  <c r="DF130" i="33"/>
  <c r="DF176" i="33" s="1"/>
  <c r="DF141" i="33"/>
  <c r="BF130" i="33"/>
  <c r="BF176" i="33" s="1"/>
  <c r="BF141" i="33"/>
  <c r="AZ153" i="33"/>
  <c r="AZ77" i="33"/>
  <c r="CW76" i="33"/>
  <c r="CW152" i="33"/>
  <c r="BR130" i="33"/>
  <c r="BR176" i="33" s="1"/>
  <c r="BR141" i="33"/>
  <c r="CU130" i="33"/>
  <c r="CU176" i="33" s="1"/>
  <c r="CU141" i="33"/>
  <c r="CF122" i="33"/>
  <c r="CF168" i="33" s="1"/>
  <c r="CF133" i="33"/>
  <c r="CY129" i="33"/>
  <c r="CY175" i="33" s="1"/>
  <c r="CY140" i="33"/>
  <c r="DZ129" i="33"/>
  <c r="DZ175" i="33" s="1"/>
  <c r="DZ140" i="33"/>
  <c r="DP122" i="33"/>
  <c r="DP168" i="33" s="1"/>
  <c r="DP133" i="33"/>
  <c r="DX139" i="33"/>
  <c r="DX128" i="33"/>
  <c r="DX174" i="33" s="1"/>
  <c r="DO137" i="33"/>
  <c r="DO126" i="33"/>
  <c r="DO172" i="33" s="1"/>
  <c r="BM129" i="33"/>
  <c r="BM175" i="33" s="1"/>
  <c r="BM140" i="33"/>
  <c r="DU128" i="33"/>
  <c r="DU174" i="33" s="1"/>
  <c r="DU139" i="33"/>
  <c r="BA151" i="33"/>
  <c r="BA75" i="33"/>
  <c r="BP127" i="33"/>
  <c r="BP173" i="33" s="1"/>
  <c r="BP138" i="33"/>
  <c r="CI125" i="33"/>
  <c r="CI171" i="33" s="1"/>
  <c r="CI136" i="33"/>
  <c r="DL123" i="33"/>
  <c r="DL169" i="33" s="1"/>
  <c r="DL134" i="33"/>
  <c r="CV126" i="33"/>
  <c r="CV172" i="33" s="1"/>
  <c r="CV137" i="33"/>
  <c r="DT124" i="33"/>
  <c r="DT170" i="33" s="1"/>
  <c r="DT135" i="33"/>
  <c r="DQ125" i="33"/>
  <c r="DQ171" i="33" s="1"/>
  <c r="DQ136" i="33"/>
  <c r="DF126" i="33"/>
  <c r="DF172" i="33" s="1"/>
  <c r="DF137" i="33"/>
  <c r="DS124" i="33"/>
  <c r="DS170" i="33" s="1"/>
  <c r="DS135" i="33"/>
  <c r="AV125" i="33"/>
  <c r="AV171" i="33" s="1"/>
  <c r="AV136" i="33"/>
  <c r="BG137" i="33"/>
  <c r="BG126" i="33"/>
  <c r="BG172" i="33" s="1"/>
  <c r="DR126" i="33"/>
  <c r="DR172" i="33" s="1"/>
  <c r="DR137" i="33"/>
  <c r="CY133" i="33"/>
  <c r="CY122" i="33"/>
  <c r="CY168" i="33" s="1"/>
  <c r="BJ77" i="33"/>
  <c r="BJ153" i="33"/>
  <c r="BJ160" i="33" s="1"/>
  <c r="BJ161" i="33" s="1"/>
  <c r="BJ162" i="33" s="1"/>
  <c r="DI137" i="33"/>
  <c r="DI126" i="33"/>
  <c r="DI172" i="33" s="1"/>
  <c r="CP128" i="33"/>
  <c r="CP174" i="33" s="1"/>
  <c r="CP139" i="33"/>
  <c r="CE129" i="33"/>
  <c r="CE175" i="33" s="1"/>
  <c r="CE140" i="33"/>
  <c r="DM125" i="33"/>
  <c r="DM171" i="33" s="1"/>
  <c r="DM136" i="33"/>
  <c r="CJ123" i="33"/>
  <c r="CJ169" i="33" s="1"/>
  <c r="CJ134" i="33"/>
  <c r="BF125" i="33"/>
  <c r="BF171" i="33" s="1"/>
  <c r="BF136" i="33"/>
  <c r="CH141" i="33"/>
  <c r="CH130" i="33"/>
  <c r="CH176" i="33" s="1"/>
  <c r="CM135" i="33"/>
  <c r="CM124" i="33"/>
  <c r="CM170" i="33" s="1"/>
  <c r="BQ133" i="33"/>
  <c r="BQ122" i="33"/>
  <c r="BQ168" i="33" s="1"/>
  <c r="CT123" i="33"/>
  <c r="CT169" i="33" s="1"/>
  <c r="CT134" i="33"/>
  <c r="DR132" i="33"/>
  <c r="DR121" i="33"/>
  <c r="DR167" i="33" s="1"/>
  <c r="DH141" i="33"/>
  <c r="DH130" i="33"/>
  <c r="DH176" i="33" s="1"/>
  <c r="DW133" i="33"/>
  <c r="DW122" i="33"/>
  <c r="DW168" i="33" s="1"/>
  <c r="DK135" i="33"/>
  <c r="DK124" i="33"/>
  <c r="DK170" i="33" s="1"/>
  <c r="CL125" i="33"/>
  <c r="CL171" i="33" s="1"/>
  <c r="CL136" i="33"/>
  <c r="DK137" i="33"/>
  <c r="DK126" i="33"/>
  <c r="DK172" i="33" s="1"/>
  <c r="CJ124" i="33"/>
  <c r="CJ170" i="33" s="1"/>
  <c r="CJ135" i="33"/>
  <c r="CG129" i="33"/>
  <c r="CG175" i="33" s="1"/>
  <c r="CG140" i="33"/>
  <c r="BK122" i="33"/>
  <c r="BK168" i="33" s="1"/>
  <c r="BK133" i="33"/>
  <c r="CV123" i="33"/>
  <c r="CV169" i="33" s="1"/>
  <c r="CV134" i="33"/>
  <c r="CI128" i="33"/>
  <c r="CI174" i="33" s="1"/>
  <c r="CI139" i="33"/>
  <c r="CP123" i="33"/>
  <c r="CP169" i="33" s="1"/>
  <c r="CP134" i="33"/>
  <c r="DE126" i="33"/>
  <c r="DE172" i="33" s="1"/>
  <c r="DE137" i="33"/>
  <c r="CM127" i="33"/>
  <c r="CM173" i="33" s="1"/>
  <c r="CM138" i="33"/>
  <c r="J201" i="33"/>
  <c r="D201" i="33" s="1"/>
  <c r="L256" i="33"/>
  <c r="O256" i="33" s="1"/>
  <c r="C84" i="33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35" i="15" s="1"/>
  <c r="B27" i="15"/>
  <c r="B51" i="15"/>
  <c r="B37" i="15"/>
  <c r="T11" i="31" s="1"/>
  <c r="B30" i="15"/>
  <c r="B20" i="15"/>
  <c r="BN160" i="33" l="1"/>
  <c r="BN161" i="33" s="1"/>
  <c r="BN162" i="33" s="1"/>
  <c r="AX124" i="33"/>
  <c r="AX170" i="33" s="1"/>
  <c r="BP160" i="33"/>
  <c r="BP161" i="33" s="1"/>
  <c r="BP162" i="33" s="1"/>
  <c r="BA135" i="33"/>
  <c r="AZ135" i="33"/>
  <c r="T208" i="33"/>
  <c r="AY124" i="33"/>
  <c r="AY170" i="33" s="1"/>
  <c r="BP135" i="33"/>
  <c r="AW160" i="33"/>
  <c r="AW161" i="33" s="1"/>
  <c r="AW162" i="33" s="1"/>
  <c r="BF160" i="33"/>
  <c r="BF161" i="33" s="1"/>
  <c r="BF162" i="33" s="1"/>
  <c r="BC160" i="33"/>
  <c r="BC161" i="33" s="1"/>
  <c r="BC162" i="33" s="1"/>
  <c r="DY178" i="33"/>
  <c r="AY160" i="33"/>
  <c r="AY161" i="33" s="1"/>
  <c r="AY162" i="33" s="1"/>
  <c r="DX178" i="33"/>
  <c r="BB160" i="33"/>
  <c r="BB161" i="33" s="1"/>
  <c r="BB162" i="33" s="1"/>
  <c r="W200" i="33"/>
  <c r="D203" i="33" s="1"/>
  <c r="AL209" i="33"/>
  <c r="AL207" i="33" s="1"/>
  <c r="D210" i="33" s="1"/>
  <c r="DF178" i="33"/>
  <c r="BS160" i="33"/>
  <c r="BS161" i="33" s="1"/>
  <c r="BS162" i="33" s="1"/>
  <c r="AW132" i="33"/>
  <c r="AW121" i="33"/>
  <c r="AW167" i="33" s="1"/>
  <c r="CD132" i="33"/>
  <c r="CD121" i="33"/>
  <c r="CD167" i="33" s="1"/>
  <c r="CD178" i="33" s="1"/>
  <c r="DO145" i="33"/>
  <c r="DO144" i="33"/>
  <c r="DO143" i="33"/>
  <c r="DO142" i="33"/>
  <c r="CS144" i="33"/>
  <c r="CS142" i="33"/>
  <c r="CS145" i="33"/>
  <c r="CS143" i="33"/>
  <c r="BC121" i="33"/>
  <c r="BC167" i="33" s="1"/>
  <c r="BC132" i="33"/>
  <c r="DZ144" i="33"/>
  <c r="DZ143" i="33"/>
  <c r="DZ145" i="33"/>
  <c r="DZ142" i="33"/>
  <c r="CC134" i="33"/>
  <c r="CC123" i="33"/>
  <c r="CC169" i="33" s="1"/>
  <c r="BL123" i="33"/>
  <c r="BL169" i="33" s="1"/>
  <c r="BL178" i="33" s="1"/>
  <c r="BL134" i="33"/>
  <c r="BL142" i="33" s="1"/>
  <c r="CW132" i="33"/>
  <c r="CW121" i="33"/>
  <c r="CW167" i="33" s="1"/>
  <c r="AZ121" i="33"/>
  <c r="AZ167" i="33" s="1"/>
  <c r="AZ132" i="33"/>
  <c r="DS145" i="33"/>
  <c r="DS142" i="33"/>
  <c r="DS144" i="33"/>
  <c r="DS143" i="33"/>
  <c r="BN134" i="33"/>
  <c r="BN123" i="33"/>
  <c r="BN169" i="33" s="1"/>
  <c r="DW142" i="33"/>
  <c r="DW144" i="33"/>
  <c r="DW145" i="33"/>
  <c r="DW143" i="33"/>
  <c r="BM123" i="33"/>
  <c r="BM169" i="33" s="1"/>
  <c r="BM178" i="33" s="1"/>
  <c r="BM134" i="33"/>
  <c r="BM143" i="33" s="1"/>
  <c r="DE178" i="33"/>
  <c r="CM144" i="33"/>
  <c r="CM143" i="33"/>
  <c r="CM142" i="33"/>
  <c r="CM145" i="33"/>
  <c r="DO178" i="33"/>
  <c r="DX143" i="33"/>
  <c r="DX142" i="33"/>
  <c r="DX145" i="33"/>
  <c r="DX144" i="33"/>
  <c r="BA123" i="33"/>
  <c r="BA169" i="33" s="1"/>
  <c r="BA134" i="33"/>
  <c r="BQ123" i="33"/>
  <c r="BQ169" i="33" s="1"/>
  <c r="BQ134" i="33"/>
  <c r="CH132" i="33"/>
  <c r="CH121" i="33"/>
  <c r="CH167" i="33" s="1"/>
  <c r="CH178" i="33" s="1"/>
  <c r="BB132" i="33"/>
  <c r="BB121" i="33"/>
  <c r="BB167" i="33" s="1"/>
  <c r="DZ178" i="33"/>
  <c r="CY134" i="33"/>
  <c r="CY123" i="33"/>
  <c r="CY169" i="33" s="1"/>
  <c r="BE134" i="33"/>
  <c r="BE123" i="33"/>
  <c r="BE169" i="33" s="1"/>
  <c r="AZ160" i="33"/>
  <c r="AZ161" i="33" s="1"/>
  <c r="AZ162" i="33" s="1"/>
  <c r="CB121" i="33"/>
  <c r="CB167" i="33" s="1"/>
  <c r="CB132" i="33"/>
  <c r="DF142" i="33"/>
  <c r="DF144" i="33"/>
  <c r="DF145" i="33"/>
  <c r="DF143" i="33"/>
  <c r="BS121" i="33"/>
  <c r="BS167" i="33" s="1"/>
  <c r="BS132" i="33"/>
  <c r="DE143" i="33"/>
  <c r="DE145" i="33"/>
  <c r="DE142" i="33"/>
  <c r="DE144" i="33"/>
  <c r="CM178" i="33"/>
  <c r="CI121" i="33"/>
  <c r="CI167" i="33" s="1"/>
  <c r="CI178" i="33" s="1"/>
  <c r="CI132" i="33"/>
  <c r="BP121" i="33"/>
  <c r="BP167" i="33" s="1"/>
  <c r="BP178" i="33" s="1"/>
  <c r="BP132" i="33"/>
  <c r="X207" i="33"/>
  <c r="X208" i="33"/>
  <c r="X209" i="33"/>
  <c r="Z209" i="33" s="1"/>
  <c r="CK132" i="33"/>
  <c r="CK121" i="33"/>
  <c r="CK167" i="33" s="1"/>
  <c r="CK178" i="33" s="1"/>
  <c r="EB143" i="33"/>
  <c r="EB142" i="33"/>
  <c r="EB145" i="33"/>
  <c r="EB144" i="33"/>
  <c r="BJ123" i="33"/>
  <c r="BJ169" i="33" s="1"/>
  <c r="BJ178" i="33" s="1"/>
  <c r="BJ134" i="33"/>
  <c r="BJ142" i="33" s="1"/>
  <c r="CL178" i="33"/>
  <c r="CP178" i="33"/>
  <c r="DL178" i="33"/>
  <c r="DN178" i="33"/>
  <c r="CF121" i="33"/>
  <c r="CF167" i="33" s="1"/>
  <c r="CF178" i="33" s="1"/>
  <c r="CF132" i="33"/>
  <c r="DR178" i="33"/>
  <c r="BA132" i="33"/>
  <c r="BA121" i="33"/>
  <c r="BA167" i="33" s="1"/>
  <c r="AZ123" i="33"/>
  <c r="AZ169" i="33" s="1"/>
  <c r="AZ134" i="33"/>
  <c r="BQ121" i="33"/>
  <c r="BQ167" i="33" s="1"/>
  <c r="BQ132" i="33"/>
  <c r="DH178" i="33"/>
  <c r="DT178" i="33"/>
  <c r="CN178" i="33"/>
  <c r="DK142" i="33"/>
  <c r="DK144" i="33"/>
  <c r="DK143" i="33"/>
  <c r="DK145" i="33"/>
  <c r="DI143" i="33"/>
  <c r="DI145" i="33"/>
  <c r="DI142" i="33"/>
  <c r="DI144" i="33"/>
  <c r="CO178" i="33"/>
  <c r="BS123" i="33"/>
  <c r="BS169" i="33" s="1"/>
  <c r="BS134" i="33"/>
  <c r="DG144" i="33"/>
  <c r="DG142" i="33"/>
  <c r="DG145" i="33"/>
  <c r="DG143" i="33"/>
  <c r="DU143" i="33"/>
  <c r="DU142" i="33"/>
  <c r="DU144" i="33"/>
  <c r="DU145" i="33"/>
  <c r="BC123" i="33"/>
  <c r="BC169" i="33" s="1"/>
  <c r="BC134" i="33"/>
  <c r="AV132" i="33"/>
  <c r="AV121" i="33"/>
  <c r="AV167" i="33" s="1"/>
  <c r="CT121" i="33"/>
  <c r="CT167" i="33" s="1"/>
  <c r="CT178" i="33" s="1"/>
  <c r="CT132" i="33"/>
  <c r="CB123" i="33"/>
  <c r="CB169" i="33" s="1"/>
  <c r="CB134" i="33"/>
  <c r="CP143" i="33"/>
  <c r="CP142" i="33"/>
  <c r="CP144" i="33"/>
  <c r="CP145" i="33"/>
  <c r="DJ178" i="33"/>
  <c r="BD121" i="33"/>
  <c r="BD167" i="33" s="1"/>
  <c r="BD132" i="33"/>
  <c r="CC132" i="33"/>
  <c r="CC121" i="33"/>
  <c r="CC167" i="33" s="1"/>
  <c r="CY121" i="33"/>
  <c r="CY167" i="33" s="1"/>
  <c r="CY132" i="33"/>
  <c r="BG123" i="33"/>
  <c r="BG169" i="33" s="1"/>
  <c r="BG178" i="33" s="1"/>
  <c r="BG134" i="33"/>
  <c r="BG142" i="33" s="1"/>
  <c r="CL144" i="33"/>
  <c r="CL143" i="33"/>
  <c r="CL142" i="33"/>
  <c r="CL145" i="33"/>
  <c r="BO132" i="33"/>
  <c r="BO121" i="33"/>
  <c r="BO167" i="33" s="1"/>
  <c r="BO178" i="33" s="1"/>
  <c r="CR178" i="33"/>
  <c r="EB178" i="33"/>
  <c r="DR143" i="33"/>
  <c r="DR142" i="33"/>
  <c r="DR144" i="33"/>
  <c r="DR145" i="33"/>
  <c r="BA160" i="33"/>
  <c r="BA161" i="33" s="1"/>
  <c r="BA162" i="33" s="1"/>
  <c r="BQ160" i="33"/>
  <c r="BQ161" i="33" s="1"/>
  <c r="BQ162" i="33" s="1"/>
  <c r="AY123" i="33"/>
  <c r="AY169" i="33" s="1"/>
  <c r="AY134" i="33"/>
  <c r="CJ121" i="33"/>
  <c r="CJ167" i="33" s="1"/>
  <c r="CJ178" i="33" s="1"/>
  <c r="CJ132" i="33"/>
  <c r="BB134" i="33"/>
  <c r="BB123" i="33"/>
  <c r="BB169" i="33" s="1"/>
  <c r="DT143" i="33"/>
  <c r="DT145" i="33"/>
  <c r="DT142" i="33"/>
  <c r="DT144" i="33"/>
  <c r="CN144" i="33"/>
  <c r="CN145" i="33"/>
  <c r="CN143" i="33"/>
  <c r="CN142" i="33"/>
  <c r="DK178" i="33"/>
  <c r="DI178" i="33"/>
  <c r="CO142" i="33"/>
  <c r="CO144" i="33"/>
  <c r="CO145" i="33"/>
  <c r="CO143" i="33"/>
  <c r="BI123" i="33"/>
  <c r="BI169" i="33" s="1"/>
  <c r="BI178" i="33" s="1"/>
  <c r="BI134" i="33"/>
  <c r="BI143" i="33" s="1"/>
  <c r="AW134" i="33"/>
  <c r="AW123" i="33"/>
  <c r="AW169" i="33" s="1"/>
  <c r="DG178" i="33"/>
  <c r="DU178" i="33"/>
  <c r="AV160" i="33"/>
  <c r="AV161" i="33" s="1"/>
  <c r="AV162" i="33" s="1"/>
  <c r="CG121" i="33"/>
  <c r="CG167" i="33" s="1"/>
  <c r="CG178" i="33" s="1"/>
  <c r="CG132" i="33"/>
  <c r="BH123" i="33"/>
  <c r="BH169" i="33" s="1"/>
  <c r="BH178" i="33" s="1"/>
  <c r="BH134" i="33"/>
  <c r="BH143" i="33" s="1"/>
  <c r="DJ143" i="33"/>
  <c r="DJ142" i="33"/>
  <c r="DJ145" i="33"/>
  <c r="DJ144" i="33"/>
  <c r="BD160" i="33"/>
  <c r="BD161" i="33" s="1"/>
  <c r="BD162" i="33" s="1"/>
  <c r="CV133" i="33"/>
  <c r="CV122" i="33"/>
  <c r="CV168" i="33" s="1"/>
  <c r="CW133" i="33"/>
  <c r="CW122" i="33"/>
  <c r="CW168" i="33" s="1"/>
  <c r="AX123" i="33"/>
  <c r="AX169" i="33" s="1"/>
  <c r="AX134" i="33"/>
  <c r="D265" i="33"/>
  <c r="D289" i="33" s="1"/>
  <c r="DV145" i="33"/>
  <c r="DV143" i="33"/>
  <c r="DV142" i="33"/>
  <c r="DV144" i="33"/>
  <c r="AV123" i="33"/>
  <c r="AV169" i="33" s="1"/>
  <c r="AV134" i="33"/>
  <c r="BR134" i="33"/>
  <c r="BR123" i="33"/>
  <c r="BR169" i="33" s="1"/>
  <c r="O257" i="33"/>
  <c r="BE121" i="33"/>
  <c r="BE167" i="33" s="1"/>
  <c r="BE132" i="33"/>
  <c r="BN121" i="33"/>
  <c r="BN167" i="33" s="1"/>
  <c r="BN132" i="33"/>
  <c r="DM145" i="33"/>
  <c r="DM144" i="33"/>
  <c r="DM142" i="33"/>
  <c r="DM143" i="33"/>
  <c r="DQ142" i="33"/>
  <c r="DQ143" i="33"/>
  <c r="DQ144" i="33"/>
  <c r="DQ145" i="33"/>
  <c r="BR160" i="33"/>
  <c r="BR161" i="33" s="1"/>
  <c r="BR162" i="33" s="1"/>
  <c r="DP145" i="33"/>
  <c r="DP144" i="33"/>
  <c r="DP142" i="33"/>
  <c r="DP143" i="33"/>
  <c r="AX121" i="33"/>
  <c r="AX167" i="33" s="1"/>
  <c r="AX132" i="33"/>
  <c r="EA144" i="33"/>
  <c r="EA142" i="33"/>
  <c r="EA143" i="33"/>
  <c r="EA145" i="33"/>
  <c r="CX121" i="33"/>
  <c r="CX167" i="33" s="1"/>
  <c r="CX132" i="33"/>
  <c r="BF121" i="33"/>
  <c r="BF167" i="33" s="1"/>
  <c r="BF132" i="33"/>
  <c r="CQ142" i="33"/>
  <c r="CQ145" i="33"/>
  <c r="CQ144" i="33"/>
  <c r="CQ143" i="33"/>
  <c r="BD134" i="33"/>
  <c r="BD123" i="33"/>
  <c r="BD169" i="33" s="1"/>
  <c r="CR145" i="33"/>
  <c r="CR142" i="33"/>
  <c r="CR144" i="33"/>
  <c r="CR143" i="33"/>
  <c r="DL142" i="33"/>
  <c r="DL143" i="33"/>
  <c r="DL144" i="33"/>
  <c r="DL145" i="33"/>
  <c r="DN143" i="33"/>
  <c r="DN142" i="33"/>
  <c r="DN144" i="33"/>
  <c r="DN145" i="33"/>
  <c r="CX134" i="33"/>
  <c r="CX123" i="33"/>
  <c r="CX169" i="33" s="1"/>
  <c r="DH143" i="33"/>
  <c r="DH144" i="33"/>
  <c r="DH142" i="33"/>
  <c r="DH145" i="33"/>
  <c r="BK123" i="33"/>
  <c r="BK169" i="33" s="1"/>
  <c r="BK178" i="33" s="1"/>
  <c r="BK134" i="33"/>
  <c r="BK144" i="33" s="1"/>
  <c r="DV178" i="33"/>
  <c r="CU132" i="33"/>
  <c r="CU121" i="33"/>
  <c r="CU167" i="33" s="1"/>
  <c r="CU178" i="33" s="1"/>
  <c r="DY145" i="33"/>
  <c r="DY142" i="33"/>
  <c r="DY143" i="33"/>
  <c r="DY144" i="33"/>
  <c r="CS178" i="33"/>
  <c r="BE160" i="33"/>
  <c r="BE161" i="33" s="1"/>
  <c r="BE162" i="33" s="1"/>
  <c r="DM178" i="33"/>
  <c r="CE121" i="33"/>
  <c r="CE167" i="33" s="1"/>
  <c r="CE178" i="33" s="1"/>
  <c r="CE132" i="33"/>
  <c r="DQ178" i="33"/>
  <c r="BR121" i="33"/>
  <c r="BR167" i="33" s="1"/>
  <c r="BR132" i="33"/>
  <c r="DP178" i="33"/>
  <c r="AX160" i="33"/>
  <c r="AX161" i="33" s="1"/>
  <c r="AX162" i="33" s="1"/>
  <c r="CV121" i="33"/>
  <c r="CV167" i="33" s="1"/>
  <c r="CV132" i="33"/>
  <c r="DS178" i="33"/>
  <c r="AY121" i="33"/>
  <c r="AY167" i="33" s="1"/>
  <c r="AY132" i="33"/>
  <c r="DW178" i="33"/>
  <c r="EA178" i="33"/>
  <c r="BF134" i="33"/>
  <c r="BF123" i="33"/>
  <c r="BF169" i="33" s="1"/>
  <c r="CQ178" i="33"/>
  <c r="D257" i="33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K16" i="31" s="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BP145" i="33" l="1"/>
  <c r="BJ144" i="33"/>
  <c r="BJ145" i="33"/>
  <c r="J16" i="31"/>
  <c r="CV178" i="33"/>
  <c r="BJ143" i="33"/>
  <c r="BH145" i="33"/>
  <c r="BN178" i="33"/>
  <c r="BL144" i="33"/>
  <c r="BL145" i="33"/>
  <c r="BL143" i="33"/>
  <c r="BE178" i="33"/>
  <c r="BG143" i="33"/>
  <c r="BG144" i="33"/>
  <c r="BR178" i="33"/>
  <c r="BG145" i="33"/>
  <c r="BA178" i="33"/>
  <c r="AY178" i="33"/>
  <c r="DN146" i="33"/>
  <c r="DN148" i="33" s="1"/>
  <c r="CR146" i="33"/>
  <c r="CR147" i="33" s="1"/>
  <c r="AX178" i="33"/>
  <c r="DZ146" i="33"/>
  <c r="DZ148" i="33" s="1"/>
  <c r="DO146" i="33"/>
  <c r="DO148" i="33" s="1"/>
  <c r="BM144" i="33"/>
  <c r="BM142" i="33"/>
  <c r="BK143" i="33"/>
  <c r="CX178" i="33"/>
  <c r="CP146" i="33"/>
  <c r="CP148" i="33" s="1"/>
  <c r="DG146" i="33"/>
  <c r="DG147" i="33" s="1"/>
  <c r="CL146" i="33"/>
  <c r="CL148" i="33" s="1"/>
  <c r="DJ146" i="33"/>
  <c r="DJ147" i="33" s="1"/>
  <c r="CE142" i="33"/>
  <c r="CE143" i="33"/>
  <c r="CE144" i="33"/>
  <c r="CE145" i="33"/>
  <c r="CJ143" i="33"/>
  <c r="CJ145" i="33"/>
  <c r="CJ142" i="33"/>
  <c r="CJ144" i="33"/>
  <c r="CF145" i="33"/>
  <c r="CF142" i="33"/>
  <c r="CF146" i="33" s="1"/>
  <c r="CF144" i="33"/>
  <c r="CF143" i="33"/>
  <c r="DS146" i="33"/>
  <c r="BD178" i="33"/>
  <c r="BC143" i="33"/>
  <c r="BC144" i="33"/>
  <c r="BC142" i="33"/>
  <c r="BC145" i="33"/>
  <c r="BR143" i="33"/>
  <c r="BR142" i="33"/>
  <c r="BR144" i="33"/>
  <c r="BR145" i="33"/>
  <c r="DL146" i="33"/>
  <c r="BK142" i="33"/>
  <c r="BQ178" i="33"/>
  <c r="DE146" i="33"/>
  <c r="DF146" i="33"/>
  <c r="CM146" i="33"/>
  <c r="AZ142" i="33"/>
  <c r="AZ144" i="33"/>
  <c r="AZ143" i="33"/>
  <c r="AZ145" i="33"/>
  <c r="BC178" i="33"/>
  <c r="CX144" i="33"/>
  <c r="CX145" i="33"/>
  <c r="CX143" i="33"/>
  <c r="CX142" i="33"/>
  <c r="BD143" i="33"/>
  <c r="BD142" i="33"/>
  <c r="BD145" i="33"/>
  <c r="BD144" i="33"/>
  <c r="CK145" i="33"/>
  <c r="CK144" i="33"/>
  <c r="CK142" i="33"/>
  <c r="CK143" i="33"/>
  <c r="DT146" i="33"/>
  <c r="DU146" i="33"/>
  <c r="BQ142" i="33"/>
  <c r="BQ143" i="33"/>
  <c r="BQ145" i="33"/>
  <c r="BQ144" i="33"/>
  <c r="AY143" i="33"/>
  <c r="AY145" i="33"/>
  <c r="AY142" i="33"/>
  <c r="AY144" i="33"/>
  <c r="EA146" i="33"/>
  <c r="BN142" i="33"/>
  <c r="BN143" i="33"/>
  <c r="BN144" i="33"/>
  <c r="BN145" i="33"/>
  <c r="BK145" i="33"/>
  <c r="AV178" i="33"/>
  <c r="DI146" i="33"/>
  <c r="CB145" i="33"/>
  <c r="CB142" i="33"/>
  <c r="CB144" i="33"/>
  <c r="CB143" i="33"/>
  <c r="DW146" i="33"/>
  <c r="AZ178" i="33"/>
  <c r="CC145" i="33"/>
  <c r="CC143" i="33"/>
  <c r="CC142" i="33"/>
  <c r="CC144" i="33"/>
  <c r="CH142" i="33"/>
  <c r="CH144" i="33"/>
  <c r="CH145" i="33"/>
  <c r="CH143" i="33"/>
  <c r="DR146" i="33"/>
  <c r="CQ146" i="33"/>
  <c r="CG145" i="33"/>
  <c r="CG144" i="33"/>
  <c r="CG142" i="33"/>
  <c r="CG143" i="33"/>
  <c r="CN146" i="33"/>
  <c r="CY142" i="33"/>
  <c r="CY143" i="33"/>
  <c r="CY145" i="33"/>
  <c r="CY144" i="33"/>
  <c r="AV144" i="33"/>
  <c r="AV143" i="33"/>
  <c r="AV142" i="33"/>
  <c r="AV145" i="33"/>
  <c r="BI142" i="33"/>
  <c r="BP143" i="33"/>
  <c r="BP142" i="33"/>
  <c r="BP144" i="33"/>
  <c r="CB178" i="33"/>
  <c r="BB178" i="33"/>
  <c r="CW178" i="33"/>
  <c r="CD143" i="33"/>
  <c r="CD144" i="33"/>
  <c r="CD142" i="33"/>
  <c r="CD145" i="33"/>
  <c r="DM146" i="33"/>
  <c r="CU144" i="33"/>
  <c r="CU143" i="33"/>
  <c r="CU145" i="33"/>
  <c r="CU142" i="33"/>
  <c r="DP146" i="33"/>
  <c r="CT145" i="33"/>
  <c r="CT143" i="33"/>
  <c r="CT144" i="33"/>
  <c r="CT142" i="33"/>
  <c r="BF142" i="33"/>
  <c r="BF143" i="33"/>
  <c r="BF145" i="33"/>
  <c r="BF144" i="33"/>
  <c r="BH144" i="33"/>
  <c r="BE145" i="33"/>
  <c r="BE144" i="33"/>
  <c r="BE143" i="33"/>
  <c r="BE142" i="33"/>
  <c r="BO142" i="33"/>
  <c r="BO144" i="33"/>
  <c r="BO143" i="33"/>
  <c r="BO145" i="33"/>
  <c r="CY178" i="33"/>
  <c r="BI145" i="33"/>
  <c r="EB146" i="33"/>
  <c r="BS143" i="33"/>
  <c r="BS142" i="33"/>
  <c r="BS145" i="33"/>
  <c r="BS144" i="33"/>
  <c r="BB142" i="33"/>
  <c r="BB144" i="33"/>
  <c r="BB143" i="33"/>
  <c r="BB145" i="33"/>
  <c r="CW142" i="33"/>
  <c r="CW143" i="33"/>
  <c r="CW145" i="33"/>
  <c r="CW144" i="33"/>
  <c r="CS146" i="33"/>
  <c r="AW178" i="33"/>
  <c r="DV146" i="33"/>
  <c r="CO146" i="33"/>
  <c r="DK146" i="33"/>
  <c r="CV145" i="33"/>
  <c r="CV143" i="33"/>
  <c r="CV142" i="33"/>
  <c r="CV144" i="33"/>
  <c r="DY146" i="33"/>
  <c r="DH146" i="33"/>
  <c r="BF178" i="33"/>
  <c r="AX145" i="33"/>
  <c r="AX144" i="33"/>
  <c r="AX142" i="33"/>
  <c r="AX143" i="33"/>
  <c r="BH142" i="33"/>
  <c r="DQ146" i="33"/>
  <c r="CC178" i="33"/>
  <c r="BI144" i="33"/>
  <c r="BA144" i="33"/>
  <c r="BA142" i="33"/>
  <c r="BA143" i="33"/>
  <c r="BA145" i="33"/>
  <c r="CI143" i="33"/>
  <c r="CI145" i="33"/>
  <c r="CI142" i="33"/>
  <c r="CI144" i="33"/>
  <c r="BS178" i="33"/>
  <c r="DX146" i="33"/>
  <c r="BM145" i="33"/>
  <c r="AW143" i="33"/>
  <c r="AW144" i="33"/>
  <c r="AW142" i="33"/>
  <c r="AW145" i="33"/>
  <c r="D259" i="33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CG146" i="33" l="1"/>
  <c r="CY146" i="33"/>
  <c r="CY147" i="33" s="1"/>
  <c r="CB146" i="33"/>
  <c r="CE146" i="33"/>
  <c r="CE148" i="33" s="1"/>
  <c r="CC146" i="33"/>
  <c r="CC148" i="33" s="1"/>
  <c r="BQ146" i="33"/>
  <c r="BQ147" i="33" s="1"/>
  <c r="AW146" i="33"/>
  <c r="AW148" i="33" s="1"/>
  <c r="BP146" i="33"/>
  <c r="BP148" i="33" s="1"/>
  <c r="CD146" i="33"/>
  <c r="AY146" i="33"/>
  <c r="AY148" i="33" s="1"/>
  <c r="CX146" i="33"/>
  <c r="AZ146" i="33"/>
  <c r="AZ147" i="33" s="1"/>
  <c r="AX146" i="33"/>
  <c r="AX148" i="33" s="1"/>
  <c r="BR146" i="33"/>
  <c r="BR148" i="33" s="1"/>
  <c r="BS146" i="33"/>
  <c r="BS148" i="33" s="1"/>
  <c r="AV146" i="33"/>
  <c r="AV148" i="33" s="1"/>
  <c r="BJ146" i="33"/>
  <c r="BJ148" i="33" s="1"/>
  <c r="D138" i="33"/>
  <c r="D137" i="33"/>
  <c r="CL147" i="33"/>
  <c r="CL163" i="33" s="1"/>
  <c r="CP147" i="33"/>
  <c r="CP163" i="33" s="1"/>
  <c r="DG148" i="33"/>
  <c r="DG163" i="33" s="1"/>
  <c r="DN147" i="33"/>
  <c r="DN163" i="33" s="1"/>
  <c r="DZ147" i="33"/>
  <c r="DZ163" i="33" s="1"/>
  <c r="BL146" i="33"/>
  <c r="BL148" i="33" s="1"/>
  <c r="CR148" i="33"/>
  <c r="CR163" i="33" s="1"/>
  <c r="CT146" i="33"/>
  <c r="CT148" i="33" s="1"/>
  <c r="BH146" i="33"/>
  <c r="BH148" i="33" s="1"/>
  <c r="BG146" i="33"/>
  <c r="BG148" i="33" s="1"/>
  <c r="BM146" i="33"/>
  <c r="BM148" i="33" s="1"/>
  <c r="DJ148" i="33"/>
  <c r="DJ163" i="33" s="1"/>
  <c r="DO147" i="33"/>
  <c r="DO163" i="33" s="1"/>
  <c r="BJ147" i="33"/>
  <c r="BJ163" i="33" s="1"/>
  <c r="BE146" i="33"/>
  <c r="BE148" i="33" s="1"/>
  <c r="BK146" i="33"/>
  <c r="BK147" i="33" s="1"/>
  <c r="BD146" i="33"/>
  <c r="BD148" i="33" s="1"/>
  <c r="CX148" i="33"/>
  <c r="CX147" i="33"/>
  <c r="DX148" i="33"/>
  <c r="DX147" i="33"/>
  <c r="BA146" i="33"/>
  <c r="CG147" i="33"/>
  <c r="CG148" i="33"/>
  <c r="DW147" i="33"/>
  <c r="DW148" i="33"/>
  <c r="CK146" i="33"/>
  <c r="DL148" i="33"/>
  <c r="DL147" i="33"/>
  <c r="CJ146" i="33"/>
  <c r="BO146" i="33"/>
  <c r="CS148" i="33"/>
  <c r="CS147" i="33"/>
  <c r="CH146" i="33"/>
  <c r="CI146" i="33"/>
  <c r="DH147" i="33"/>
  <c r="DH148" i="33"/>
  <c r="CQ148" i="33"/>
  <c r="CQ147" i="33"/>
  <c r="CB148" i="33"/>
  <c r="CB147" i="33"/>
  <c r="BN146" i="33"/>
  <c r="DF148" i="33"/>
  <c r="DF147" i="33"/>
  <c r="BB146" i="33"/>
  <c r="CM147" i="33"/>
  <c r="CM148" i="33"/>
  <c r="DQ147" i="33"/>
  <c r="DQ148" i="33"/>
  <c r="DV148" i="33"/>
  <c r="DV147" i="33"/>
  <c r="BF146" i="33"/>
  <c r="CD148" i="33"/>
  <c r="CD147" i="33"/>
  <c r="DR147" i="33"/>
  <c r="DR148" i="33"/>
  <c r="EA148" i="33"/>
  <c r="EA147" i="33"/>
  <c r="DE147" i="33"/>
  <c r="DE148" i="33"/>
  <c r="EB147" i="33"/>
  <c r="EB148" i="33"/>
  <c r="DK148" i="33"/>
  <c r="DK147" i="33"/>
  <c r="CO148" i="33"/>
  <c r="CO147" i="33"/>
  <c r="DS148" i="33"/>
  <c r="DS147" i="33"/>
  <c r="DP147" i="33"/>
  <c r="DP148" i="33"/>
  <c r="BI146" i="33"/>
  <c r="DI148" i="33"/>
  <c r="DI147" i="33"/>
  <c r="DU148" i="33"/>
  <c r="DU147" i="33"/>
  <c r="CF148" i="33"/>
  <c r="CF147" i="33"/>
  <c r="DM148" i="33"/>
  <c r="DM147" i="33"/>
  <c r="DY147" i="33"/>
  <c r="DY148" i="33"/>
  <c r="CV146" i="33"/>
  <c r="CW146" i="33"/>
  <c r="CU146" i="33"/>
  <c r="CN148" i="33"/>
  <c r="CN147" i="33"/>
  <c r="DT148" i="33"/>
  <c r="DT147" i="33"/>
  <c r="BC146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AW147" i="33" l="1"/>
  <c r="BS147" i="33"/>
  <c r="BS163" i="33" s="1"/>
  <c r="CE147" i="33"/>
  <c r="CE163" i="33" s="1"/>
  <c r="AZ148" i="33"/>
  <c r="CY148" i="33"/>
  <c r="CY163" i="33" s="1"/>
  <c r="BQ148" i="33"/>
  <c r="BQ163" i="33" s="1"/>
  <c r="CC147" i="33"/>
  <c r="CC163" i="33" s="1"/>
  <c r="AX147" i="33"/>
  <c r="AX163" i="33" s="1"/>
  <c r="BR147" i="33"/>
  <c r="BR163" i="33" s="1"/>
  <c r="BP147" i="33"/>
  <c r="BP163" i="33" s="1"/>
  <c r="AV147" i="33"/>
  <c r="AV163" i="33" s="1"/>
  <c r="AY147" i="33"/>
  <c r="AY163" i="33" s="1"/>
  <c r="D261" i="33"/>
  <c r="BG147" i="33"/>
  <c r="BG163" i="33" s="1"/>
  <c r="CT147" i="33"/>
  <c r="CT163" i="33" s="1"/>
  <c r="BL147" i="33"/>
  <c r="BL163" i="33" s="1"/>
  <c r="BH147" i="33"/>
  <c r="BH163" i="33" s="1"/>
  <c r="BM147" i="33"/>
  <c r="BM163" i="33" s="1"/>
  <c r="BD147" i="33"/>
  <c r="BD163" i="33" s="1"/>
  <c r="BE147" i="33"/>
  <c r="BE163" i="33" s="1"/>
  <c r="DT163" i="33"/>
  <c r="DV163" i="33"/>
  <c r="CB163" i="33"/>
  <c r="CO163" i="33"/>
  <c r="BK148" i="33"/>
  <c r="BK163" i="33" s="1"/>
  <c r="CQ163" i="33"/>
  <c r="CN163" i="33"/>
  <c r="DI163" i="33"/>
  <c r="EA163" i="33"/>
  <c r="DF163" i="33"/>
  <c r="CM163" i="33"/>
  <c r="DW163" i="33"/>
  <c r="DM163" i="33"/>
  <c r="CD163" i="33"/>
  <c r="DL163" i="33"/>
  <c r="DX163" i="33"/>
  <c r="DE163" i="33"/>
  <c r="DR163" i="33"/>
  <c r="DH163" i="33"/>
  <c r="CF163" i="33"/>
  <c r="CS163" i="33"/>
  <c r="CX163" i="33"/>
  <c r="CU148" i="33"/>
  <c r="CU147" i="33"/>
  <c r="BF147" i="33"/>
  <c r="BF148" i="33"/>
  <c r="CK147" i="33"/>
  <c r="CK148" i="33"/>
  <c r="CW148" i="33"/>
  <c r="CW147" i="33"/>
  <c r="DS163" i="33"/>
  <c r="BB148" i="33"/>
  <c r="BB147" i="33"/>
  <c r="CH148" i="33"/>
  <c r="CH147" i="33"/>
  <c r="CV148" i="33"/>
  <c r="CV147" i="33"/>
  <c r="EB163" i="33"/>
  <c r="DY163" i="33"/>
  <c r="DU163" i="33"/>
  <c r="DP163" i="33"/>
  <c r="BO147" i="33"/>
  <c r="BO148" i="33"/>
  <c r="CG163" i="33"/>
  <c r="CJ147" i="33"/>
  <c r="CJ148" i="33"/>
  <c r="BA148" i="33"/>
  <c r="BA147" i="33"/>
  <c r="BI148" i="33"/>
  <c r="BI147" i="33"/>
  <c r="BN148" i="33"/>
  <c r="BN147" i="33"/>
  <c r="DQ163" i="33"/>
  <c r="CI147" i="33"/>
  <c r="CI148" i="33"/>
  <c r="AZ163" i="33"/>
  <c r="BC147" i="33"/>
  <c r="BC148" i="33"/>
  <c r="DK163" i="33"/>
  <c r="AW163" i="33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C197" i="33" l="1"/>
  <c r="D149" i="33"/>
  <c r="D148" i="33"/>
  <c r="CU163" i="33"/>
  <c r="BI163" i="33"/>
  <c r="D250" i="33"/>
  <c r="D283" i="33" s="1"/>
  <c r="BB163" i="33"/>
  <c r="CJ163" i="33"/>
  <c r="BF163" i="33"/>
  <c r="BA163" i="33"/>
  <c r="BN163" i="33"/>
  <c r="CH163" i="33"/>
  <c r="CK163" i="33"/>
  <c r="BC163" i="33"/>
  <c r="BO163" i="33"/>
  <c r="CI163" i="33"/>
  <c r="CV163" i="33"/>
  <c r="CW163" i="33"/>
  <c r="J6" i="31"/>
  <c r="K6" i="31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7" i="7"/>
  <c r="BC29" i="29" s="1"/>
  <c r="U28" i="7"/>
  <c r="BC30" i="29" s="1"/>
  <c r="U29" i="7"/>
  <c r="U30" i="7"/>
  <c r="U36" i="7"/>
  <c r="U37" i="7"/>
  <c r="S2" i="7"/>
  <c r="BA4" i="29" s="1"/>
  <c r="S3" i="7"/>
  <c r="S5" i="7"/>
  <c r="S6" i="7"/>
  <c r="S26" i="7"/>
  <c r="BA28" i="29" s="1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C195" i="33" l="1"/>
  <c r="D197" i="33"/>
  <c r="D248" i="33"/>
  <c r="D281" i="33" s="1"/>
  <c r="D284" i="33" s="1"/>
  <c r="D249" i="33"/>
  <c r="D195" i="33" l="1"/>
  <c r="K35" i="7"/>
  <c r="L35" i="7" s="1"/>
  <c r="N35" i="7"/>
  <c r="N2" i="7" l="1"/>
  <c r="N33" i="7"/>
  <c r="N34" i="7"/>
  <c r="N36" i="7"/>
  <c r="N37" i="7"/>
  <c r="N38" i="7"/>
  <c r="N39" i="7"/>
  <c r="K38" i="7"/>
  <c r="L38" i="7" s="1"/>
  <c r="K37" i="7"/>
  <c r="L37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U22" i="7"/>
  <c r="BC24" i="29" s="1"/>
  <c r="T17" i="7"/>
  <c r="T16" i="7"/>
  <c r="L2" i="7"/>
  <c r="M2" i="7" s="1"/>
  <c r="U8" i="7" l="1"/>
  <c r="U9" i="7"/>
  <c r="U23" i="7"/>
  <c r="BC25" i="29" s="1"/>
  <c r="T6" i="7"/>
  <c r="T7" i="7"/>
  <c r="T15" i="7"/>
  <c r="T10" i="7"/>
  <c r="V22" i="7"/>
  <c r="T22" i="7"/>
  <c r="BB24" i="29" s="1"/>
  <c r="BH24" i="29" s="1"/>
  <c r="V11" i="7"/>
  <c r="U11" i="7"/>
  <c r="V12" i="7"/>
  <c r="U12" i="7"/>
  <c r="V16" i="7"/>
  <c r="U16" i="7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S7" i="7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U25" i="7"/>
  <c r="BC27" i="29" s="1"/>
  <c r="T3" i="7"/>
  <c r="M37" i="7"/>
  <c r="M33" i="7"/>
  <c r="M34" i="7"/>
  <c r="M36" i="7"/>
  <c r="U20" i="7"/>
  <c r="BC22" i="29" s="1"/>
  <c r="U24" i="7"/>
  <c r="BC26" i="29" s="1"/>
  <c r="M39" i="7"/>
  <c r="L66" i="7"/>
  <c r="U21" i="7"/>
  <c r="BC23" i="29" s="1"/>
  <c r="T23" i="7" l="1"/>
  <c r="BB25" i="29" s="1"/>
  <c r="BH25" i="29" s="1"/>
  <c r="V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BB29" i="29" s="1"/>
  <c r="BH29" i="29" s="1"/>
  <c r="V26" i="7"/>
  <c r="T26" i="7"/>
  <c r="BB28" i="29" s="1"/>
  <c r="BH28" i="29" s="1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BB27" i="29" s="1"/>
  <c r="BH27" i="29" s="1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BB30" i="29" s="1"/>
  <c r="BH30" i="29" s="1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BB26" i="29" s="1"/>
  <c r="BH26" i="29" s="1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BA30" i="29" s="1"/>
  <c r="U5" i="7"/>
  <c r="R21" i="7"/>
  <c r="S21" i="7"/>
  <c r="BA23" i="29" s="1"/>
  <c r="R24" i="7"/>
  <c r="S24" i="7"/>
  <c r="BA26" i="29" s="1"/>
  <c r="R20" i="7"/>
  <c r="S20" i="7"/>
  <c r="BA22" i="29" s="1"/>
  <c r="U39" i="7"/>
  <c r="R29" i="7"/>
  <c r="S29" i="7"/>
  <c r="U32" i="7"/>
  <c r="S25" i="7"/>
  <c r="BA27" i="29" s="1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BA29" i="29" s="1"/>
  <c r="U33" i="7"/>
  <c r="U26" i="7"/>
  <c r="BC28" i="29" s="1"/>
  <c r="U6" i="7"/>
  <c r="R36" i="7"/>
  <c r="S36" i="7"/>
  <c r="R19" i="7"/>
  <c r="S19" i="7"/>
  <c r="U31" i="7"/>
  <c r="BG31" i="29" l="1"/>
  <c r="AP3" i="29" s="1"/>
  <c r="BB22" i="29"/>
  <c r="BH31" i="29"/>
  <c r="AP6" i="29" s="1"/>
  <c r="AD22" i="29" s="1"/>
  <c r="AF22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AK26" i="29" l="1"/>
  <c r="C184" i="33" s="1"/>
  <c r="D184" i="33" s="1"/>
  <c r="T234" i="31"/>
  <c r="T272" i="31" s="1"/>
  <c r="X272" i="31" s="1"/>
  <c r="J142" i="31" s="1"/>
  <c r="C220" i="33" s="1"/>
  <c r="C183" i="33"/>
  <c r="B83" i="30"/>
  <c r="F84" i="30" s="1"/>
  <c r="F83" i="30"/>
  <c r="X234" i="3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C185" i="33" l="1"/>
  <c r="D185" i="33" s="1"/>
  <c r="D183" i="33" s="1"/>
  <c r="B167" i="31"/>
  <c r="J167" i="31" s="1"/>
  <c r="C235" i="33" s="1"/>
  <c r="C236" i="33" s="1"/>
  <c r="L198" i="18"/>
  <c r="L217" i="18" s="1"/>
  <c r="Q7" i="22" s="1"/>
  <c r="BC17" i="23" s="1"/>
  <c r="BC35" i="23" s="1"/>
  <c r="AX39" i="23"/>
  <c r="AX37" i="23"/>
  <c r="AT38" i="23"/>
  <c r="AT37" i="23"/>
  <c r="AV39" i="23"/>
  <c r="AV37" i="23"/>
  <c r="C307" i="33"/>
  <c r="X237" i="31"/>
  <c r="Z237" i="31" s="1"/>
  <c r="AU39" i="23"/>
  <c r="AU37" i="23"/>
  <c r="C192" i="33"/>
  <c r="B115" i="30"/>
  <c r="B126" i="30" s="1"/>
  <c r="BP38" i="23"/>
  <c r="BP37" i="23"/>
  <c r="BO38" i="23"/>
  <c r="BO37" i="23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J170" i="31" l="1"/>
  <c r="W172" i="18"/>
  <c r="W215" i="18" s="1"/>
  <c r="AB5" i="22" s="1"/>
  <c r="BN15" i="23" s="1"/>
  <c r="BN21" i="23" s="1"/>
  <c r="C276" i="33"/>
  <c r="C293" i="33" s="1"/>
  <c r="AJ216" i="33"/>
  <c r="AN216" i="33" s="1"/>
  <c r="D220" i="33" s="1"/>
  <c r="D192" i="33"/>
  <c r="AK225" i="33"/>
  <c r="AO225" i="33" s="1"/>
  <c r="AO228" i="33" s="1"/>
  <c r="D142" i="33"/>
  <c r="C243" i="33"/>
  <c r="AA237" i="31"/>
  <c r="E185" i="18"/>
  <c r="E216" i="18" s="1"/>
  <c r="J6" i="22" s="1"/>
  <c r="AV16" i="23" s="1"/>
  <c r="AW39" i="23"/>
  <c r="BR39" i="23" s="1"/>
  <c r="H93" i="23" s="1"/>
  <c r="H95" i="23" s="1"/>
  <c r="AW37" i="23"/>
  <c r="BR35" i="23"/>
  <c r="D93" i="23" s="1"/>
  <c r="D95" i="23" s="1"/>
  <c r="C185" i="18"/>
  <c r="C216" i="18" s="1"/>
  <c r="H6" i="22" s="1"/>
  <c r="AT16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V172" i="18"/>
  <c r="V215" i="18" s="1"/>
  <c r="AA5" i="22" s="1"/>
  <c r="BM15" i="23" s="1"/>
  <c r="BM21" i="23" s="1"/>
  <c r="X172" i="18"/>
  <c r="X215" i="18" s="1"/>
  <c r="AC5" i="22" s="1"/>
  <c r="BO15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G172" i="18"/>
  <c r="G215" i="18" s="1"/>
  <c r="L5" i="22" s="1"/>
  <c r="AX15" i="23" s="1"/>
  <c r="M172" i="18"/>
  <c r="M215" i="18" s="1"/>
  <c r="R5" i="22" s="1"/>
  <c r="G185" i="18"/>
  <c r="G216" i="18" s="1"/>
  <c r="L6" i="22" s="1"/>
  <c r="AX16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Y185" i="18"/>
  <c r="Y216" i="18" s="1"/>
  <c r="AD6" i="22" s="1"/>
  <c r="BP16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35" i="33"/>
  <c r="D236" i="33" s="1"/>
  <c r="C290" i="33"/>
  <c r="D243" i="33"/>
  <c r="D144" i="33"/>
  <c r="D143" i="33"/>
  <c r="AS38" i="23"/>
  <c r="BR38" i="23" s="1"/>
  <c r="G93" i="23" s="1"/>
  <c r="G95" i="23" s="1"/>
  <c r="AS37" i="23"/>
  <c r="BR37" i="23" s="1"/>
  <c r="F93" i="23" s="1"/>
  <c r="F95" i="23" s="1"/>
  <c r="BP30" i="23"/>
  <c r="BP29" i="23"/>
  <c r="AX23" i="23"/>
  <c r="AX21" i="23"/>
  <c r="AU23" i="23"/>
  <c r="AU21" i="23"/>
  <c r="BP22" i="23"/>
  <c r="BP21" i="23"/>
  <c r="AT30" i="23"/>
  <c r="AT29" i="23"/>
  <c r="BO22" i="23"/>
  <c r="BO21" i="23"/>
  <c r="AV31" i="23"/>
  <c r="AV29" i="23"/>
  <c r="AX31" i="23"/>
  <c r="AX29" i="23"/>
  <c r="AB237" i="31"/>
  <c r="AC237" i="31" s="1"/>
  <c r="AF237" i="31" s="1"/>
  <c r="B178" i="31" s="1"/>
  <c r="C240" i="33" s="1"/>
  <c r="C244" i="33"/>
  <c r="AU31" i="23"/>
  <c r="AU29" i="23"/>
  <c r="AW31" i="23"/>
  <c r="AW29" i="23"/>
  <c r="L13" i="31"/>
  <c r="J13" i="31"/>
  <c r="AG138" i="31"/>
  <c r="AG140" i="31" s="1"/>
  <c r="D119" i="30"/>
  <c r="B122" i="30"/>
  <c r="B128" i="30" s="1"/>
  <c r="B130" i="30" s="1"/>
  <c r="AA8" i="22"/>
  <c r="BM5" i="23" s="1"/>
  <c r="BM9" i="23" s="1"/>
  <c r="BM16" i="23"/>
  <c r="BM29" i="23" s="1"/>
  <c r="H8" i="22"/>
  <c r="AT5" i="23" s="1"/>
  <c r="AT10" i="23" s="1"/>
  <c r="AT15" i="23"/>
  <c r="AB8" i="22"/>
  <c r="BN5" i="23" s="1"/>
  <c r="BN9" i="23" s="1"/>
  <c r="BN16" i="23"/>
  <c r="BN29" i="23" s="1"/>
  <c r="AC8" i="22"/>
  <c r="BO5" i="23" s="1"/>
  <c r="BO10" i="23" s="1"/>
  <c r="BO16" i="23"/>
  <c r="BR27" i="23"/>
  <c r="D83" i="23" s="1"/>
  <c r="D85" i="23" s="1"/>
  <c r="J8" i="22"/>
  <c r="AV5" i="23" s="1"/>
  <c r="AV11" i="23" s="1"/>
  <c r="AV15" i="23"/>
  <c r="K8" i="22"/>
  <c r="AW5" i="23" s="1"/>
  <c r="AW11" i="23" s="1"/>
  <c r="AW15" i="23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BJ8" i="23"/>
  <c r="BI8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C292" i="33"/>
  <c r="C294" i="33" s="1"/>
  <c r="AV9" i="23"/>
  <c r="AW9" i="23"/>
  <c r="BO9" i="23"/>
  <c r="AT9" i="23"/>
  <c r="D244" i="33"/>
  <c r="BR31" i="23"/>
  <c r="H83" i="23" s="1"/>
  <c r="H85" i="23" s="1"/>
  <c r="D161" i="33"/>
  <c r="BO30" i="23"/>
  <c r="BO29" i="23"/>
  <c r="BP9" i="23"/>
  <c r="AW23" i="23"/>
  <c r="AW21" i="23"/>
  <c r="AT22" i="23"/>
  <c r="AT21" i="23"/>
  <c r="AV23" i="23"/>
  <c r="AV21" i="23"/>
  <c r="AA147" i="18"/>
  <c r="C4" i="22" s="1"/>
  <c r="C7" i="22" s="1"/>
  <c r="R17" i="31"/>
  <c r="AD19" i="31"/>
  <c r="K82" i="31"/>
  <c r="BR19" i="23"/>
  <c r="D73" i="23" s="1"/>
  <c r="D75" i="23" s="1"/>
  <c r="Y8" i="22"/>
  <c r="BK15" i="23"/>
  <c r="BK21" i="23" s="1"/>
  <c r="BR8" i="23"/>
  <c r="E25" i="23" s="1"/>
  <c r="E27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BR23" i="23"/>
  <c r="H73" i="23" s="1"/>
  <c r="H75" i="23" s="1"/>
  <c r="AS22" i="23"/>
  <c r="BR22" i="23" s="1"/>
  <c r="G73" i="23" s="1"/>
  <c r="G75" i="23" s="1"/>
  <c r="AS21" i="23"/>
  <c r="BR21" i="23" s="1"/>
  <c r="F73" i="23" s="1"/>
  <c r="F75" i="23" s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62" i="33" l="1"/>
  <c r="D155" i="33"/>
  <c r="D145" i="33"/>
  <c r="D179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99" i="33" l="1"/>
  <c r="D158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D175" i="33" l="1"/>
  <c r="D176" i="33"/>
  <c r="D177" i="33"/>
  <c r="AS30" i="23"/>
  <c r="BR30" i="23" s="1"/>
  <c r="G83" i="23" s="1"/>
  <c r="G85" i="23" s="1"/>
  <c r="AS29" i="23"/>
  <c r="BR29" i="23" s="1"/>
  <c r="F83" i="23" s="1"/>
  <c r="F85" i="23" s="1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D160" i="33" l="1"/>
  <c r="D218" i="33"/>
  <c r="AS9" i="23"/>
  <c r="BR9" i="23" s="1"/>
  <c r="F25" i="23" s="1"/>
  <c r="C170" i="33" s="1"/>
  <c r="C209" i="33"/>
  <c r="C154" i="33"/>
  <c r="C180" i="33"/>
  <c r="C221" i="33"/>
  <c r="D216" i="33"/>
  <c r="D151" i="33"/>
  <c r="J19" i="31"/>
  <c r="C194" i="33" l="1"/>
  <c r="I31" i="31"/>
  <c r="D221" i="33"/>
  <c r="F27" i="23"/>
  <c r="D154" i="33"/>
  <c r="C211" i="33"/>
  <c r="J48" i="31"/>
  <c r="B174" i="31" s="1"/>
  <c r="C157" i="33"/>
  <c r="C181" i="33"/>
  <c r="D180" i="33"/>
  <c r="D181" i="33" s="1"/>
  <c r="C178" i="33"/>
  <c r="D170" i="33"/>
  <c r="D178" i="33" s="1"/>
  <c r="C173" i="33"/>
  <c r="D194" i="33" l="1"/>
  <c r="D237" i="33" s="1"/>
  <c r="D238" i="33" s="1"/>
  <c r="C237" i="33"/>
  <c r="D157" i="33"/>
  <c r="C174" i="33"/>
  <c r="D173" i="33"/>
  <c r="B180" i="31"/>
  <c r="B181" i="31" s="1"/>
  <c r="B175" i="31"/>
  <c r="D241" i="33" l="1"/>
  <c r="D242" i="33" s="1"/>
  <c r="C238" i="33"/>
  <c r="C241" i="33"/>
  <c r="D174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<sst xmlns="http://schemas.openxmlformats.org/spreadsheetml/2006/main" count="3128" uniqueCount="1467">
  <si>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</si>
  <si>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</si>
  <si>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</si>
  <si>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</si>
  <si>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</si>
  <si>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</si>
  <si>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</si>
  <si>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</si>
  <si>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</si>
  <si>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</si>
  <si>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</si>
  <si>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</si>
  <si>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</si>
  <si>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</si>
  <si>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</si>
  <si>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</si>
  <si>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</si>
  <si>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</si>
  <si>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</si>
  <si>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</si>
  <si>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</si>
  <si>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</si>
  <si>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</si>
  <si>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</si>
  <si>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</si>
  <si>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</si>
  <si>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</si>
  <si>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</si>
  <si>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</si>
  <si>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</si>
  <si>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</si>
  <si>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</si>
  <si>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</si>
  <si>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</si>
  <si>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</si>
  <si>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</si>
  <si>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</si>
  <si>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</si>
  <si>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</si>
  <si>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</si>
  <si>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</si>
  <si>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</si>
  <si>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</si>
  <si>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</si>
  <si>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</si>
  <si>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</si>
  <si>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</si>
  <si>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</si>
  <si>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</si>
  <si>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</si>
  <si>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</si>
  <si>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</si>
  <si>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</si>
  <si>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</si>
  <si>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</si>
  <si>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</si>
  <si>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</si>
  <si>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</si>
  <si>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</si>
  <si>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</si>
  <si>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</si>
  <si>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</si>
  <si>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</si>
  <si>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</si>
  <si>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</si>
  <si>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</si>
  <si>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</si>
  <si>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</si>
  <si>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</si>
  <si>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</si>
  <si>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</si>
  <si>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</si>
  <si>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</si>
  <si>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</si>
  <si>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</si>
  <si>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</si>
  <si>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</si>
  <si>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</si>
  <si>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</si>
  <si>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</si>
  <si>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</si>
  <si>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</si>
  <si>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</si>
  <si>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</si>
  <si>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</si>
  <si>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</si>
  <si>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</si>
  <si>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</si>
  <si>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</si>
  <si>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</si>
  <si>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</si>
  <si>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</si>
  <si>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</si>
  <si>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</si>
  <si>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</si>
  <si>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</si>
  <si>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</si>
  <si>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</si>
  <si>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</si>
  <si>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</si>
  <si>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</si>
  <si>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</si>
  <si>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</si>
  <si>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</si>
  <si>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</si>
  <si>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</si>
  <si>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</si>
  <si>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</si>
  <si>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</si>
  <si>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</si>
  <si>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</si>
  <si>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</si>
  <si>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</si>
  <si>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</si>
  <si>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</si>
  <si>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</si>
  <si>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</si>
  <si>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</si>
  <si>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</si>
  <si>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</si>
  <si>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</si>
  <si>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</si>
  <si>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</si>
  <si>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</si>
  <si>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</si>
  <si>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</si>
  <si>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</si>
  <si>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</si>
  <si>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</si>
  <si>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</si>
  <si>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</si>
  <si>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</si>
  <si>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</si>
  <si>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</si>
  <si>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</si>
  <si>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</si>
  <si>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</si>
  <si>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</si>
  <si>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</si>
  <si>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</si>
  <si>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</si>
  <si>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</si>
  <si>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</si>
  <si>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</si>
  <si>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</si>
  <si>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</si>
  <si>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</si>
  <si>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</si>
  <si>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</si>
  <si>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</si>
  <si>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</si>
  <si>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</si>
  <si>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</si>
  <si>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</si>
  <si>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</si>
  <si>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</si>
  <si>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</si>
  <si>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</si>
  <si>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</si>
  <si>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</si>
  <si>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</si>
  <si>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</si>
  <si>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</si>
  <si>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</si>
  <si>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</si>
  <si>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</si>
  <si>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</si>
  <si>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</si>
  <si>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</si>
  <si>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</si>
  <si>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</si>
  <si>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</si>
  <si>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</si>
  <si>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</si>
  <si>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</si>
  <si>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</si>
  <si>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</si>
  <si>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</si>
  <si>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</si>
  <si>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</si>
  <si>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</si>
  <si>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</si>
  <si>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</si>
  <si>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</si>
  <si>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</si>
  <si>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</si>
  <si>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</si>
  <si>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</si>
  <si>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</si>
  <si>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</si>
  <si>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</si>
  <si>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</si>
  <si>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</si>
  <si>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</si>
  <si>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</si>
  <si>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</si>
  <si>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</si>
  <si>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</si>
  <si>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</si>
  <si>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</si>
  <si>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</si>
  <si>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</si>
  <si>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</si>
  <si>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</si>
  <si>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</si>
  <si>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</si>
  <si>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</si>
  <si>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</si>
  <si>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</si>
  <si>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</si>
  <si>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</si>
  <si>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</si>
  <si>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</si>
  <si>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</si>
  <si>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</si>
  <si>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</si>
  <si>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</si>
  <si>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</si>
  <si>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</si>
  <si>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</si>
  <si>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</si>
  <si>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</si>
  <si>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</si>
  <si>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</si>
  <si>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</si>
  <si>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</si>
  <si>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</si>
  <si>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</si>
  <si>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</si>
  <si>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</si>
  <si>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</si>
  <si>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</si>
  <si>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</si>
  <si>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</si>
  <si>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</si>
  <si>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</si>
  <si>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</si>
  <si>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</si>
  <si>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</si>
  <si>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</si>
  <si>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</si>
  <si>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</si>
  <si>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</si>
  <si>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</si>
  <si>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</si>
  <si>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</si>
  <si>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</si>
  <si>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</si>
  <si>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</si>
  <si>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</si>
  <si>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</si>
  <si>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</si>
  <si>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</si>
  <si>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</si>
  <si>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</si>
  <si>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</si>
  <si>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</si>
  <si>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</si>
  <si>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</si>
  <si>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</si>
  <si>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</si>
  <si>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</si>
  <si>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</si>
  <si>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</si>
  <si>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</si>
  <si>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</si>
  <si>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</si>
  <si>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</si>
  <si>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</si>
  <si>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</si>
  <si>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</si>
  <si>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</si>
  <si>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</si>
  <si>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</si>
  <si>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</si>
  <si>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</si>
  <si>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</si>
  <si>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</si>
  <si>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</si>
  <si>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</si>
  <si>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</si>
  <si>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</si>
  <si>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</si>
  <si>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</si>
  <si>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</si>
  <si>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</si>
  <si>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</si>
  <si>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</si>
  <si>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</si>
  <si>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</si>
  <si>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</si>
  <si>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</si>
  <si>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</si>
  <si>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</si>
  <si>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</si>
  <si>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</si>
  <si>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</si>
  <si>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</si>
  <si>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</si>
  <si>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</si>
  <si>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</si>
  <si>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</si>
  <si>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</si>
  <si>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</si>
  <si>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</si>
  <si>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</si>
  <si>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</si>
  <si>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</si>
  <si>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</si>
  <si>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</si>
  <si>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</si>
  <si>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</si>
  <si>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</si>
  <si>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</si>
  <si>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</si>
  <si>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</si>
  <si>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</si>
  <si>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</si>
  <si>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</si>
  <si>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</si>
  <si>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</si>
  <si>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</si>
  <si>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</si>
  <si>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</si>
  <si>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</si>
  <si>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</si>
  <si>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</si>
  <si>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</si>
  <si>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</si>
  <si>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</si>
  <si>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</si>
  <si>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</si>
  <si>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</si>
  <si>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</si>
  <si>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</si>
  <si>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</si>
  <si>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</si>
  <si>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</si>
  <si>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</si>
  <si>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</si>
  <si>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</si>
  <si>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</si>
  <si>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</si>
  <si>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</si>
  <si>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</si>
  <si>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</si>
  <si>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</si>
  <si>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</si>
  <si>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</si>
  <si>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</si>
  <si>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</si>
  <si>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</si>
  <si>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</si>
  <si>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</si>
  <si>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</si>
  <si>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</si>
  <si>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</si>
  <si>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</si>
  <si>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</si>
  <si>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</si>
  <si>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</si>
  <si>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</si>
  <si>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</si>
  <si>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</si>
  <si>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</si>
  <si>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</si>
  <si>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</si>
  <si>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</si>
  <si>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</si>
  <si>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</si>
  <si>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</si>
  <si>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</si>
  <si>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</si>
  <si>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</si>
  <si>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</si>
  <si>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</si>
  <si>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</si>
  <si>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</si>
  <si>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</si>
  <si>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</si>
  <si>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</si>
  <si>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</si>
  <si>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</si>
  <si>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</si>
  <si>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</si>
  <si>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</si>
  <si>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</si>
  <si>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</si>
  <si>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</si>
  <si>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</si>
  <si>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</si>
  <si>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</si>
  <si>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</si>
  <si>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</si>
  <si>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</si>
  <si>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</si>
  <si>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</si>
  <si>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</si>
  <si>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</si>
  <si>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</si>
  <si>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</si>
  <si>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</si>
  <si>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</si>
  <si>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</si>
  <si>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</si>
  <si>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</si>
  <si>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</si>
  <si>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</si>
  <si>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</si>
  <si>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</si>
  <si>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</si>
  <si>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</si>
  <si>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</si>
  <si>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</si>
  <si>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</si>
  <si>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</si>
  <si>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</si>
  <si>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</si>
  <si>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</si>
  <si>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</si>
  <si>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</si>
  <si>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</si>
  <si>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</si>
  <si>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</si>
  <si>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</si>
  <si>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</si>
  <si>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</si>
  <si>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</si>
  <si>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</si>
  <si>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</si>
  <si>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</si>
  <si>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</si>
  <si>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</si>
  <si>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</si>
  <si>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</si>
  <si>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</si>
  <si>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</si>
  <si>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</si>
  <si>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</si>
  <si>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</si>
  <si>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</si>
  <si>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</si>
  <si>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</si>
  <si>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</si>
  <si>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</si>
  <si>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</si>
  <si>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</si>
  <si>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</si>
  <si>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</si>
  <si>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</si>
  <si>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</si>
  <si>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</si>
  <si>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</si>
  <si>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</si>
  <si>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</si>
  <si>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</si>
  <si>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</si>
  <si>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</si>
  <si>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</si>
  <si>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</si>
  <si>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</si>
  <si>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</si>
  <si>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</si>
  <si>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</si>
  <si>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</si>
  <si>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</si>
  <si>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</si>
  <si>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</si>
  <si>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</si>
  <si>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</si>
  <si>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</si>
  <si>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</si>
  <si>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</si>
  <si>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</si>
  <si>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</si>
  <si>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</si>
  <si>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</si>
  <si>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</si>
  <si>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</si>
  <si>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</si>
  <si>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</si>
  <si>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</si>
  <si>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</si>
  <si>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</si>
  <si>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</si>
  <si>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</si>
  <si>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</si>
  <si>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</si>
  <si>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</si>
  <si>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</si>
  <si>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</si>
  <si>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</si>
  <si>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</si>
  <si>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</si>
  <si>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</si>
  <si>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</si>
  <si>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</si>
  <si>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</si>
  <si>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</si>
  <si>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</si>
  <si>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</si>
  <si>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</si>
  <si>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</si>
  <si>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</si>
  <si>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</si>
  <si>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</si>
  <si>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</si>
  <si>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</si>
  <si>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</si>
  <si>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</si>
  <si>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</si>
  <si>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</si>
  <si>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</si>
  <si>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</si>
  <si>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</si>
  <si>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</si>
  <si>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</si>
  <si>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</si>
  <si>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</si>
  <si>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</si>
  <si>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</si>
  <si>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</si>
  <si>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</si>
  <si>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</si>
  <si>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</si>
  <si>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</si>
  <si>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</si>
  <si>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</si>
  <si>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</si>
  <si>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</si>
  <si>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</si>
  <si>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</si>
  <si>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</si>
  <si>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</si>
  <si>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</si>
  <si>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</si>
  <si>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</si>
  <si>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</si>
  <si>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</si>
  <si>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</si>
  <si>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</si>
  <si>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</si>
  <si>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</si>
  <si>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</si>
  <si>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</si>
  <si>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</si>
  <si>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</si>
  <si>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</si>
  <si>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</si>
  <si>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</si>
  <si>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</si>
  <si>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</si>
  <si>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</si>
  <si>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</si>
  <si>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</si>
  <si>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</si>
  <si>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</si>
  <si>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</si>
  <si>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</si>
  <si>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</si>
  <si>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</si>
  <si>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</si>
  <si>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</si>
  <si>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</si>
  <si>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</si>
  <si>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</si>
  <si>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</si>
  <si>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</si>
  <si>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</si>
  <si>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</si>
  <si>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</si>
  <si>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</si>
  <si>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</si>
  <si>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</si>
  <si>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</si>
  <si>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</si>
  <si>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</si>
  <si>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</si>
  <si>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</si>
  <si>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</si>
  <si>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</si>
  <si>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</si>
  <si>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</si>
  <si>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</si>
  <si>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</si>
  <si>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</si>
  <si>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</si>
  <si>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</si>
  <si>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</si>
  <si>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</si>
  <si>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</si>
  <si>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</si>
  <si>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</si>
  <si>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</si>
  <si>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</si>
  <si>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</si>
  <si>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</si>
  <si>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</si>
  <si>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</si>
  <si>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</si>
  <si>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</si>
  <si>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</si>
  <si>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</si>
  <si>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</si>
  <si>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</si>
  <si>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</si>
  <si>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</si>
  <si>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</si>
  <si>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</si>
  <si>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</si>
  <si>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</si>
  <si>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</si>
  <si>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</si>
  <si>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</si>
  <si>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</si>
  <si>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</si>
  <si>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</si>
  <si>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</si>
  <si>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</si>
  <si>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</si>
  <si>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</si>
  <si>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</si>
  <si>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</si>
  <si>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</si>
  <si>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</si>
  <si>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</si>
  <si>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</si>
  <si>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</si>
  <si>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</si>
  <si>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</si>
  <si>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</si>
  <si>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</si>
  <si>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</si>
  <si>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</si>
  <si>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</si>
  <si>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</si>
  <si>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</si>
  <si>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</si>
  <si>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</si>
  <si>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</si>
  <si>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</si>
  <si>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</si>
  <si>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</si>
  <si>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</si>
  <si>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</si>
  <si>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</si>
  <si>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</si>
  <si>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</si>
  <si>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</si>
  <si>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</si>
  <si>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</si>
  <si>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</si>
  <si>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</si>
  <si>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</si>
  <si>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</si>
  <si>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</si>
  <si>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</si>
  <si>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</si>
  <si>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</si>
  <si>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</si>
  <si>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</si>
  <si>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</si>
  <si>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</si>
  <si>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</si>
  <si>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</si>
  <si>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</si>
  <si>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</si>
  <si>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</si>
  <si>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</si>
  <si>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</si>
  <si>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</si>
  <si>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</si>
  <si>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</si>
  <si>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</si>
  <si>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</si>
  <si>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</si>
  <si>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</si>
  <si>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</si>
  <si>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</si>
  <si>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</si>
  <si>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</si>
  <si>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</si>
  <si>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</si>
  <si>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</si>
  <si>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</si>
  <si>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</si>
  <si>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</si>
  <si>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</si>
  <si>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</si>
  <si>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</si>
  <si>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</si>
  <si>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</si>
  <si>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</si>
  <si>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</si>
  <si>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</si>
  <si>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</si>
  <si>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</si>
  <si>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</si>
  <si>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</si>
  <si>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</si>
  <si>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</si>
  <si>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</si>
  <si>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</si>
  <si>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</si>
  <si>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</si>
  <si>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</si>
  <si>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</si>
  <si>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</si>
  <si>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</si>
  <si>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</si>
  <si>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</si>
  <si>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</si>
  <si>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</si>
  <si>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</si>
  <si>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</si>
  <si>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</si>
  <si>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</si>
  <si>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</si>
  <si>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</si>
  <si>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</si>
  <si>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</si>
  <si>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</si>
  <si>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</si>
  <si>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</si>
  <si>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</si>
  <si>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</si>
  <si>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</si>
  <si>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</si>
  <si>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</si>
  <si>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</si>
  <si>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</si>
  <si>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</si>
  <si>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</si>
  <si>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</si>
  <si>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</si>
  <si>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</si>
  <si>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</si>
  <si>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</si>
  <si>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</si>
  <si>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</si>
  <si>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</si>
  <si>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</si>
  <si>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</si>
  <si>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</si>
  <si>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</si>
  <si>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</si>
  <si>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</si>
  <si>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</si>
  <si>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</si>
  <si>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</si>
  <si>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</si>
  <si>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</si>
  <si>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</si>
  <si>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</si>
  <si>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</si>
  <si>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</si>
  <si>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</si>
  <si>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</si>
  <si>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</si>
  <si>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</si>
  <si>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</si>
  <si>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</si>
  <si>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</si>
  <si>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</si>
  <si>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</si>
  <si>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</si>
  <si>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</si>
  <si>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</si>
  <si>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</si>
  <si>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</si>
  <si>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</si>
  <si>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</si>
  <si>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</si>
  <si>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</si>
  <si>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</si>
  <si>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</si>
  <si>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</si>
  <si>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</si>
  <si>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</si>
  <si>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</si>
  <si>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</si>
  <si>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</si>
  <si>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</si>
  <si>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</si>
  <si>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</si>
  <si>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</si>
  <si>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</si>
  <si>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</si>
  <si>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</si>
  <si>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</si>
  <si>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</si>
  <si>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</si>
  <si>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</si>
  <si>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</si>
  <si>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</si>
  <si>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</si>
  <si>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</si>
  <si>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</si>
  <si>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</si>
  <si>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</si>
  <si>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</si>
  <si>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</si>
  <si>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</si>
  <si>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</si>
  <si>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</si>
  <si>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</si>
  <si>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</si>
  <si>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</si>
  <si>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</si>
  <si>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</si>
  <si>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</si>
  <si>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</si>
  <si>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</si>
  <si>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</si>
  <si>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</si>
  <si>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</si>
  <si>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</si>
  <si>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</si>
  <si>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</si>
  <si>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</si>
  <si>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</si>
  <si>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</si>
  <si>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</si>
  <si>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</si>
  <si>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</si>
  <si>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</si>
  <si>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</si>
  <si>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</si>
  <si>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</si>
  <si>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</si>
  <si>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</si>
  <si>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</si>
  <si>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</si>
  <si>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</si>
  <si>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</si>
  <si>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</si>
  <si>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</si>
  <si>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</si>
  <si>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</si>
  <si>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</si>
  <si>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</si>
  <si>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</si>
  <si>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</si>
  <si>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</si>
  <si>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</si>
  <si>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</si>
  <si>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</si>
  <si>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</si>
  <si>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</si>
  <si>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</si>
  <si>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</si>
  <si>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</si>
  <si>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</si>
  <si>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</si>
  <si>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</si>
  <si>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</si>
  <si>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</si>
  <si>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</si>
  <si>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</si>
  <si>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</si>
  <si>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</si>
  <si>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</si>
  <si>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</si>
  <si>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</si>
  <si>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</si>
  <si>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</si>
  <si>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</si>
  <si>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</si>
  <si>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</si>
  <si>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</si>
  <si>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</si>
  <si>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</si>
  <si>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</si>
  <si>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</si>
  <si>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</si>
  <si>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</si>
  <si>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</si>
  <si>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</si>
  <si>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</si>
  <si>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</si>
  <si>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</si>
  <si>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</si>
  <si>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</si>
  <si>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</si>
  <si>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</si>
  <si>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</si>
  <si>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</si>
  <si>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</si>
  <si>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</si>
  <si>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</si>
  <si>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</si>
  <si>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</si>
  <si>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</si>
  <si>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</si>
  <si>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</si>
  <si>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</si>
  <si>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</si>
  <si>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</si>
  <si>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</si>
  <si>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</si>
  <si>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</si>
  <si>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</si>
  <si>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</si>
  <si>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</si>
  <si>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</si>
  <si>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</si>
  <si>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</si>
  <si>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</si>
  <si>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</si>
  <si>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</si>
  <si>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</si>
  <si>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</si>
  <si>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</si>
  <si>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</si>
  <si>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</si>
  <si>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</si>
  <si>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</si>
  <si>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</si>
  <si>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</si>
  <si>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</si>
  <si>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</si>
  <si>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</si>
  <si>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</si>
  <si>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</si>
  <si>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</si>
  <si>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</si>
  <si>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</si>
  <si>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</si>
  <si>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</si>
  <si>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</si>
  <si>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</si>
  <si>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</si>
  <si>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</si>
  <si>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</si>
  <si>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</si>
  <si>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</si>
  <si>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</si>
  <si>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</si>
  <si>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</si>
  <si>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</si>
  <si>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</si>
  <si>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</si>
  <si>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</si>
  <si>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</si>
  <si>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</si>
  <si>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</si>
  <si>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</si>
  <si>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</si>
  <si>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</si>
  <si>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</si>
  <si>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</si>
  <si>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</si>
  <si>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</si>
  <si>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</si>
  <si>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</si>
  <si>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</si>
  <si>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</si>
  <si>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</si>
  <si>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</si>
  <si>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</si>
  <si>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</si>
  <si>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</si>
  <si>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</si>
  <si>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</si>
  <si>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</si>
  <si>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</si>
  <si>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</si>
  <si>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</si>
  <si>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</si>
  <si>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</si>
  <si>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</si>
  <si>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</si>
  <si>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</si>
  <si>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</si>
  <si>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</si>
  <si>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</si>
  <si>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</si>
  <si>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</si>
  <si>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</si>
  <si>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</si>
  <si>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</si>
  <si>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</si>
  <si>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</si>
  <si>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</si>
  <si>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</si>
  <si>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</si>
  <si>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</si>
  <si>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</si>
  <si>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</si>
  <si>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</si>
  <si>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</si>
  <si>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</si>
  <si>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</si>
  <si>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</si>
  <si>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</si>
  <si>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</si>
  <si>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</si>
  <si>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</si>
  <si>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</si>
  <si>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</si>
  <si>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</si>
  <si>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</si>
  <si>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</si>
  <si>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</si>
  <si>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</si>
  <si>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</si>
  <si>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</si>
  <si>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</si>
  <si>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</si>
  <si>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</si>
  <si>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</si>
  <si>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</si>
  <si>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</si>
  <si>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</si>
  <si>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</si>
  <si>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</si>
  <si>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</si>
  <si>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</si>
  <si>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</si>
  <si>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</si>
  <si>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</si>
  <si>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</si>
  <si>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</si>
  <si>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</si>
  <si>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</si>
  <si>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</si>
  <si>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</si>
  <si>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</si>
  <si>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</si>
  <si>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</si>
  <si>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</si>
  <si>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</si>
  <si>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</si>
  <si>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</si>
  <si>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</si>
  <si>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</si>
  <si>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</si>
  <si>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</si>
  <si>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</si>
  <si>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</si>
  <si>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</si>
  <si>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</si>
  <si>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</si>
  <si>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</si>
  <si>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</si>
  <si>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</si>
  <si>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</si>
  <si>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</si>
  <si>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</si>
  <si>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</si>
  <si>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</si>
  <si>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</si>
  <si>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</si>
  <si>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</si>
  <si>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</si>
  <si>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</si>
  <si>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</si>
  <si>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</si>
  <si>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</si>
  <si>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</si>
  <si>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</si>
  <si>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</si>
  <si>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</si>
  <si>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</si>
  <si>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</si>
  <si>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</si>
  <si>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</si>
  <si>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</si>
  <si>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</si>
  <si>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</si>
  <si>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</si>
  <si>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</si>
  <si>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</si>
  <si>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</si>
  <si>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</si>
  <si>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</si>
  <si>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</si>
  <si>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</si>
  <si>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</si>
  <si>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</si>
  <si>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</si>
  <si>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</si>
  <si>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</si>
  <si>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</si>
  <si>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</si>
  <si>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</si>
  <si>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</si>
  <si>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</si>
  <si>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</si>
  <si>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</si>
  <si>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</si>
  <si>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</si>
  <si>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</si>
  <si>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</si>
  <si>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</si>
  <si>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</si>
  <si>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</si>
  <si>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</si>
  <si>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</si>
  <si>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</si>
  <si>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</si>
  <si>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</si>
  <si>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</si>
  <si>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</si>
  <si>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</si>
  <si>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</si>
  <si>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</si>
  <si>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</si>
  <si>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</si>
  <si>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</si>
  <si>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</si>
  <si>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</si>
  <si>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</si>
  <si>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</si>
  <si>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</si>
  <si>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</si>
  <si>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</si>
  <si>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</si>
  <si>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</si>
  <si>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</si>
  <si>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</si>
  <si>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</si>
  <si>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</si>
  <si>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</si>
  <si>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</si>
  <si>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</si>
  <si>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</si>
  <si>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</si>
  <si>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</si>
  <si>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</si>
  <si>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</si>
  <si>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</si>
  <si>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</si>
  <si>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</si>
  <si>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</si>
  <si>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</si>
  <si>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</si>
  <si>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</si>
  <si>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</si>
  <si>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</si>
  <si>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</si>
  <si>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</si>
  <si>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</si>
  <si>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</si>
  <si>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</si>
  <si>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</si>
  <si>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</si>
  <si>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</si>
  <si>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</si>
  <si>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</si>
  <si>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</si>
  <si>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</si>
  <si>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</si>
  <si>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</si>
  <si>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</si>
  <si>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</si>
  <si>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</si>
  <si>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</si>
  <si>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</si>
  <si>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</si>
  <si>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</si>
  <si>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</si>
  <si>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</si>
  <si>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</si>
  <si>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</si>
  <si>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</si>
  <si>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</si>
  <si>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</si>
  <si>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</si>
  <si>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</si>
  <si>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</si>
  <si>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</si>
  <si>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</si>
  <si>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</si>
  <si>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</si>
  <si>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</si>
  <si>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</si>
  <si>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</si>
  <si>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</si>
  <si>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</si>
  <si>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</si>
  <si>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</si>
  <si>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</si>
  <si>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</si>
  <si>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</si>
  <si>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</si>
  <si>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</si>
  <si>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</si>
  <si>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</si>
  <si>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</si>
  <si>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</si>
  <si>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</si>
  <si>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</si>
  <si>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</si>
  <si>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</si>
  <si>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</si>
  <si>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</si>
  <si>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</si>
  <si>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</si>
  <si>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</si>
  <si>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</si>
  <si>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</si>
  <si>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</si>
  <si>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</si>
  <si>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</si>
  <si>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</si>
  <si>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</si>
  <si>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</si>
  <si>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</si>
  <si>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</si>
  <si>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</si>
  <si>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</si>
  <si>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</si>
  <si>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</si>
  <si>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</si>
  <si>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</si>
  <si>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</si>
  <si>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</si>
  <si>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</si>
  <si>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</si>
  <si>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</si>
  <si>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</si>
  <si>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</si>
  <si>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</si>
  <si>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</si>
  <si>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</si>
  <si>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</si>
  <si>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</si>
  <si>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</si>
  <si>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</si>
  <si>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</si>
  <si>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</si>
  <si>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</si>
  <si>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</si>
  <si>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</si>
  <si>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</si>
  <si>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</si>
  <si>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</si>
  <si>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</si>
  <si>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</si>
  <si>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</si>
  <si>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</si>
  <si>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</si>
  <si>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</si>
  <si>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</si>
  <si>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</si>
  <si>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</si>
  <si>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</si>
  <si>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</si>
  <si>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</si>
  <si>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</si>
  <si>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</si>
  <si>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</si>
  <si>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</si>
  <si>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</si>
  <si>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</si>
  <si>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</si>
  <si>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</si>
  <si>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</si>
  <si>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</si>
  <si>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</si>
  <si>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</si>
  <si>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</si>
  <si>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</si>
  <si>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</si>
  <si>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</si>
  <si>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</si>
  <si>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</si>
  <si>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</si>
  <si>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</si>
  <si>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</si>
  <si>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</si>
  <si>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</si>
  <si>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</si>
  <si>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</si>
  <si>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</si>
  <si>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</si>
  <si>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</si>
  <si>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</si>
  <si>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</si>
  <si>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</si>
  <si>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</si>
  <si>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</si>
  <si>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</si>
  <si>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</si>
  <si>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</si>
  <si>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</si>
  <si>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</si>
  <si>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</si>
  <si>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</si>
  <si>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</si>
  <si>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</si>
  <si>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</si>
  <si>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</si>
  <si>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</si>
  <si>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</si>
  <si>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</si>
  <si>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</si>
  <si>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</si>
  <si>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</si>
  <si>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</si>
  <si>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</si>
  <si>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</si>
  <si>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</si>
  <si>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</si>
  <si>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</si>
  <si>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</si>
  <si>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</si>
  <si>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</si>
  <si>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</si>
  <si>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</si>
  <si>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</si>
  <si>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</si>
  <si>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</si>
  <si>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</si>
  <si>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</si>
  <si>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</si>
  <si>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</si>
  <si>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</si>
  <si>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</si>
  <si>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</si>
  <si>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</si>
  <si>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</si>
  <si>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</si>
  <si>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</si>
  <si>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</si>
  <si>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</si>
  <si>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</si>
  <si>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</si>
  <si>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</si>
  <si>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</si>
  <si>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</si>
  <si>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</si>
  <si>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</si>
  <si>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</si>
  <si>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</si>
  <si>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</si>
  <si>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</si>
  <si>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</si>
  <si>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</si>
  <si>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</si>
  <si>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</si>
  <si>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</si>
  <si>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</si>
  <si>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</si>
  <si>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</si>
  <si>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</si>
  <si>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</si>
  <si>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</si>
  <si>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</si>
  <si>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</si>
  <si>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</si>
  <si>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</si>
  <si>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</si>
  <si>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</si>
  <si>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</si>
  <si>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</si>
  <si>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</si>
  <si>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</si>
  <si>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</si>
  <si>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</si>
  <si>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</si>
  <si>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</si>
  <si>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</si>
  <si>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</si>
  <si>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</si>
  <si>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</si>
  <si>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</si>
  <si>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</si>
  <si>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</si>
  <si>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</si>
  <si>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</si>
  <si>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</si>
  <si>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</si>
  <si>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</si>
  <si>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</si>
  <si>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</si>
  <si>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</si>
  <si>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</si>
  <si>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</si>
  <si>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</si>
  <si>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</si>
  <si>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</si>
  <si>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</si>
  <si>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</si>
  <si>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</si>
  <si>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</si>
  <si>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</si>
  <si>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</si>
  <si>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</si>
  <si>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</si>
  <si>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</si>
  <si>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</si>
  <si>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</si>
  <si>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</si>
  <si>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</si>
  <si>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</si>
  <si>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</si>
  <si>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</si>
  <si>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</si>
  <si>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</si>
  <si>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</si>
  <si>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</si>
  <si>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</si>
  <si>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</si>
  <si>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</si>
  <si>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</si>
  <si>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</si>
  <si>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</si>
  <si>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</si>
  <si>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</si>
  <si>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</si>
  <si>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</si>
  <si>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</si>
  <si>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</si>
  <si>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</si>
  <si>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</si>
  <si>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</si>
  <si>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</si>
  <si>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</si>
  <si>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</si>
  <si>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</si>
  <si>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</si>
  <si>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</si>
  <si>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</si>
  <si>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</si>
  <si>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</si>
  <si>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</si>
  <si>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</si>
  <si>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</si>
  <si>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</si>
  <si>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</si>
  <si>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</si>
  <si>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</si>
  <si>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</si>
  <si>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</si>
  <si>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</si>
  <si>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</si>
  <si>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</si>
  <si>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</si>
  <si>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Maîs</t>
  </si>
  <si>
    <t>surface2</t>
  </si>
  <si>
    <t>LANDES</t>
  </si>
  <si>
    <t>PP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</si>
  <si>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</si>
  <si>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</si>
  <si>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</si>
  <si>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</si>
  <si>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</si>
  <si>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</si>
  <si>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</si>
  <si>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</si>
  <si>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</si>
  <si>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</si>
  <si>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</si>
  <si>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</si>
  <si>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</si>
  <si>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</si>
  <si>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</si>
  <si>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</si>
  <si>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</si>
  <si>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</si>
  <si>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</si>
  <si>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</si>
  <si>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</si>
  <si>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TOTALCA</t>
  </si>
  <si>
    <t>Z3_OLBV_T3_MC2s2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</si>
</sst>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Q7"/>
          <cell r="R7"/>
        </row>
        <row r="8">
          <cell r="Q8"/>
          <cell r="R8"/>
        </row>
        <row r="9">
          <cell r="Q9"/>
          <cell r="R9"/>
        </row>
        <row r="10">
          <cell r="H10">
            <v>0</v>
          </cell>
          <cell r="Q10"/>
          <cell r="R10"/>
        </row>
        <row r="11">
          <cell r="Q11"/>
          <cell r="R11"/>
        </row>
        <row r="12">
          <cell r="Q12"/>
          <cell r="R12"/>
        </row>
        <row r="13">
          <cell r="Q13"/>
          <cell r="R13"/>
        </row>
        <row r="14">
          <cell r="Q14"/>
          <cell r="R14"/>
        </row>
        <row r="15">
          <cell r="Q15"/>
          <cell r="R15"/>
        </row>
        <row r="16">
          <cell r="Q16"/>
          <cell r="R16"/>
        </row>
        <row r="29">
          <cell r="Q29"/>
          <cell r="R29"/>
        </row>
        <row r="30">
          <cell r="Q30"/>
          <cell r="R30"/>
        </row>
        <row r="31">
          <cell r="Q31"/>
          <cell r="R31"/>
        </row>
        <row r="32">
          <cell r="Q32"/>
          <cell r="R32"/>
        </row>
        <row r="33">
          <cell r="Q33"/>
          <cell r="R33"/>
        </row>
        <row r="34">
          <cell r="Q34"/>
          <cell r="R34"/>
        </row>
        <row r="35">
          <cell r="Q35"/>
          <cell r="R35"/>
        </row>
        <row r="36">
          <cell r="Q36"/>
          <cell r="R36"/>
        </row>
        <row r="37">
          <cell r="Q37"/>
          <cell r="R37"/>
        </row>
        <row r="38">
          <cell r="Q38"/>
          <cell r="R38"/>
        </row>
        <row r="51">
          <cell r="Q51"/>
          <cell r="R51"/>
        </row>
        <row r="52">
          <cell r="Q52"/>
          <cell r="R52"/>
        </row>
        <row r="53">
          <cell r="Q53"/>
          <cell r="R53"/>
        </row>
        <row r="54">
          <cell r="Q54"/>
          <cell r="R54"/>
        </row>
        <row r="55">
          <cell r="Q55"/>
          <cell r="R55"/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8.372798611112" createdVersion="6" refreshedVersion="6" minRefreshableVersion="3" recordCount="30">
  <cacheSource type="worksheet">
    <worksheetSource ref="B1:J31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30" maxValue="310" count="13">
        <n v="129"/>
        <n v="198"/>
        <n v="30"/>
        <n v="216"/>
        <n v="225"/>
        <n v="301"/>
        <n v="302"/>
        <n v="80"/>
        <n v="228"/>
        <m/>
        <n v="46"/>
        <n v="47"/>
        <n v="310"/>
      </sharedItems>
    </cacheField>
    <cacheField name="surface" numFmtId="0">
      <sharedItems containsString="0" containsBlank="1" containsNumber="1" minValue="0.5" maxValue="3"/>
    </cacheField>
    <cacheField name="surface2" numFmtId="0">
      <sharedItems containsNonDate="0" containsString="0" containsBlank="1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n v="1"/>
    <n v="2"/>
    <x v="0"/>
    <n v="3"/>
    <x v="0"/>
    <n v="0.8"/>
    <m/>
    <n v="2"/>
    <n v="0.5"/>
  </r>
  <r>
    <n v="1"/>
    <n v="2"/>
    <x v="0"/>
    <s v="PT"/>
    <x v="1"/>
    <n v="0.5"/>
    <m/>
    <n v="2"/>
    <n v="0"/>
  </r>
  <r>
    <n v="1"/>
    <n v="2"/>
    <x v="0"/>
    <s v="PT"/>
    <x v="2"/>
    <n v="2"/>
    <m/>
    <n v="2"/>
    <n v="0"/>
  </r>
  <r>
    <n v="1"/>
    <n v="2"/>
    <x v="0"/>
    <s v="PT"/>
    <x v="2"/>
    <n v="2"/>
    <m/>
    <n v="3"/>
    <n v="0"/>
  </r>
  <r>
    <n v="1"/>
    <n v="2"/>
    <x v="0"/>
    <s v="PT"/>
    <x v="3"/>
    <n v="2"/>
    <m/>
    <n v="3"/>
    <n v="0"/>
  </r>
  <r>
    <n v="1"/>
    <n v="2"/>
    <x v="0"/>
    <s v="PP"/>
    <x v="4"/>
    <n v="2"/>
    <m/>
    <n v="3"/>
    <n v="0.5"/>
  </r>
  <r>
    <n v="1"/>
    <n v="2"/>
    <x v="0"/>
    <s v="PT"/>
    <x v="1"/>
    <n v="0.5"/>
    <m/>
    <n v="3"/>
    <n v="0"/>
  </r>
  <r>
    <n v="1"/>
    <n v="2"/>
    <x v="0"/>
    <s v="PP"/>
    <x v="0"/>
    <n v="0.7"/>
    <m/>
    <n v="3"/>
    <n v="0"/>
  </r>
  <r>
    <n v="1"/>
    <n v="2"/>
    <x v="1"/>
    <s v="PP"/>
    <x v="5"/>
    <n v="1.3"/>
    <m/>
    <n v="3"/>
    <n v="1"/>
  </r>
  <r>
    <n v="1"/>
    <n v="2"/>
    <x v="1"/>
    <n v="2"/>
    <x v="6"/>
    <n v="3"/>
    <m/>
    <n v="3"/>
    <n v="0.5"/>
  </r>
  <r>
    <n v="1"/>
    <n v="2"/>
    <x v="1"/>
    <s v="PP"/>
    <x v="7"/>
    <n v="1"/>
    <m/>
    <n v="3"/>
    <n v="1"/>
  </r>
  <r>
    <n v="1"/>
    <n v="2"/>
    <x v="1"/>
    <s v="PT"/>
    <x v="1"/>
    <n v="2.5"/>
    <m/>
    <n v="2"/>
    <n v="0"/>
  </r>
  <r>
    <n v="1"/>
    <n v="2"/>
    <x v="1"/>
    <s v="PP"/>
    <x v="8"/>
    <n v="1.5"/>
    <m/>
    <n v="2"/>
    <n v="1"/>
  </r>
  <r>
    <n v="1"/>
    <n v="2"/>
    <x v="1"/>
    <s v="PP"/>
    <x v="6"/>
    <n v="1"/>
    <m/>
    <n v="2"/>
    <n v="0.5"/>
  </r>
  <r>
    <n v="1"/>
    <n v="2"/>
    <x v="1"/>
    <s v="PP"/>
    <x v="7"/>
    <n v="1"/>
    <m/>
    <n v="2"/>
    <n v="1"/>
  </r>
  <r>
    <n v="1"/>
    <n v="2"/>
    <x v="1"/>
    <s v="PP"/>
    <x v="6"/>
    <n v="2"/>
    <m/>
    <n v="2"/>
    <n v="0.5"/>
  </r>
  <r>
    <n v="2"/>
    <n v="0"/>
    <x v="0"/>
    <s v="Maîs"/>
    <x v="9"/>
    <n v="1.2"/>
    <m/>
    <n v="2"/>
    <n v="0"/>
  </r>
  <r>
    <n v="2"/>
    <n v="0"/>
    <x v="0"/>
    <s v="Maîs"/>
    <x v="9"/>
    <n v="0.8"/>
    <m/>
    <n v="2"/>
    <n v="0"/>
  </r>
  <r>
    <n v="2"/>
    <n v="2"/>
    <x v="1"/>
    <s v="LANDES"/>
    <x v="10"/>
    <n v="2.6"/>
    <m/>
    <n v="3"/>
    <n v="1"/>
  </r>
  <r>
    <n v="2"/>
    <n v="2"/>
    <x v="0"/>
    <s v="LANDES"/>
    <x v="11"/>
    <n v="3"/>
    <m/>
    <n v="3"/>
    <n v="1"/>
  </r>
  <r>
    <n v="1"/>
    <n v="2"/>
    <x v="1"/>
    <s v="PT"/>
    <x v="1"/>
    <n v="1.5"/>
    <m/>
    <n v="3"/>
    <n v="0"/>
  </r>
  <r>
    <n v="1"/>
    <n v="2"/>
    <x v="1"/>
    <s v="PP"/>
    <x v="6"/>
    <n v="1"/>
    <m/>
    <n v="3"/>
    <n v="0.5"/>
  </r>
  <r>
    <n v="1"/>
    <n v="2"/>
    <x v="1"/>
    <s v="PP"/>
    <x v="6"/>
    <n v="1"/>
    <m/>
    <n v="3"/>
    <n v="0.5"/>
  </r>
  <r>
    <n v="1"/>
    <n v="2"/>
    <x v="1"/>
    <s v="PP"/>
    <x v="5"/>
    <n v="0.7"/>
    <m/>
    <n v="3"/>
    <n v="0.5"/>
  </r>
  <r>
    <n v="1"/>
    <n v="2"/>
    <x v="1"/>
    <s v="PP"/>
    <x v="12"/>
    <n v="1.5"/>
    <m/>
    <n v="3"/>
    <n v="0"/>
  </r>
  <r>
    <n v="1"/>
    <n v="2"/>
    <x v="1"/>
    <s v="PP"/>
    <x v="12"/>
    <n v="2"/>
    <m/>
    <n v="3"/>
    <n v="0.5"/>
  </r>
  <r>
    <n v="1"/>
    <n v="2"/>
    <x v="1"/>
    <s v="PP"/>
    <x v="12"/>
    <n v="1.5"/>
    <m/>
    <n v="3"/>
    <n v="0.5"/>
  </r>
  <r>
    <m/>
    <m/>
    <x v="2"/>
    <m/>
    <x v="9"/>
    <m/>
    <m/>
    <m/>
    <m/>
  </r>
  <r>
    <m/>
    <m/>
    <x v="2"/>
    <m/>
    <x v="9"/>
    <m/>
    <m/>
    <m/>
    <m/>
  </r>
  <r>
    <m/>
    <m/>
    <x v="2"/>
    <m/>
    <x v="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8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8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x="2"/>
        <item x="10"/>
        <item x="11"/>
        <item x="7"/>
        <item x="0"/>
        <item x="1"/>
        <item x="3"/>
        <item x="4"/>
        <item x="8"/>
        <item x="5"/>
        <item x="6"/>
        <item x="9"/>
        <item x="12"/>
        <item t="default"/>
      </items>
    </pivotField>
    <pivotField dataField="1" showAll="0"/>
    <pivotField showAll="0"/>
    <pivotField showAll="0"/>
    <pivotField showAll="0"/>
  </pivotFields>
  <rowFields count="1"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8" sqref="F18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62.915000000000006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183.30249300978397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6.314740701652175</v>
      </c>
      <c r="M5" s="143">
        <f>CdTrp1!H215+CdTrp2!H215+CdTrp3!H215+CdTrp4!H215</f>
        <v>8.7923638721739135</v>
      </c>
      <c r="N5" s="143">
        <f>CdTrp1!I215+CdTrp2!I215+CdTrp3!I215+CdTrp4!I215</f>
        <v>6.2197025556521766</v>
      </c>
      <c r="O5" s="143">
        <f>CdTrp1!J215+CdTrp2!J215+CdTrp3!J215+CdTrp4!J215</f>
        <v>6.3615882466956526</v>
      </c>
      <c r="P5" s="143">
        <f>CdTrp1!K215+CdTrp2!K215+CdTrp3!K215+CdTrp4!K215</f>
        <v>6.5531118240000019</v>
      </c>
      <c r="Q5" s="143">
        <f>CdTrp1!L215+CdTrp2!L215+CdTrp3!L215+CdTrp4!L215</f>
        <v>8.8344736200000007</v>
      </c>
      <c r="R5" s="143">
        <f>CdTrp1!M215+CdTrp2!M215+CdTrp3!M215+CdTrp4!M215</f>
        <v>3.7664755434782609</v>
      </c>
      <c r="S5" s="143">
        <f>CdTrp1!N215+CdTrp2!N215+CdTrp3!N215+CdTrp4!N215</f>
        <v>3.8920247282608695</v>
      </c>
      <c r="T5" s="143">
        <f>CdTrp1!O215+CdTrp2!O215+CdTrp3!O215+CdTrp4!O215</f>
        <v>3.8920247282608695</v>
      </c>
      <c r="U5" s="143">
        <f>CdTrp1!P215+CdTrp2!P215+CdTrp3!P215+CdTrp4!P215</f>
        <v>3.8920247282608695</v>
      </c>
      <c r="V5" s="143">
        <f>CdTrp1!Q215+CdTrp2!Q215+CdTrp3!Q215+CdTrp4!Q215</f>
        <v>1.3161804782608697</v>
      </c>
      <c r="W5" s="143">
        <f>CdTrp1!R215+CdTrp2!R215+CdTrp3!R215+CdTrp4!R215</f>
        <v>1.2737230434782609</v>
      </c>
      <c r="X5" s="143">
        <f>CdTrp1!S215+CdTrp2!S215+CdTrp3!S215+CdTrp4!S215</f>
        <v>1.2737230434782609</v>
      </c>
      <c r="Y5" s="143">
        <f>CdTrp1!T215+CdTrp2!T215+CdTrp3!T215+CdTrp4!T215</f>
        <v>4.5286188058695656</v>
      </c>
      <c r="Z5" s="143">
        <f>CdTrp1!U215+CdTrp2!U215+CdTrp3!U215+CdTrp4!U215</f>
        <v>8.1245346273913057</v>
      </c>
      <c r="AA5" s="143">
        <f>CdTrp1!V215+CdTrp2!V215+CdTrp3!V215+CdTrp4!V215</f>
        <v>2.9783375999999997</v>
      </c>
      <c r="AB5" s="143">
        <f>CdTrp1!W215+CdTrp2!W215+CdTrp3!W215+CdTrp4!W215</f>
        <v>2.9798369999999998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171.05701616713046</v>
      </c>
      <c r="AG5" t="s">
        <v>222</v>
      </c>
    </row>
    <row r="6" spans="1:53" x14ac:dyDescent="0.25">
      <c r="B6" s="14" t="s">
        <v>292</v>
      </c>
      <c r="C6" s="143">
        <f>SUM(Troupeau!B68:E68)</f>
        <v>13.23</v>
      </c>
      <c r="D6" t="s">
        <v>247</v>
      </c>
      <c r="F6" s="38" t="s">
        <v>218</v>
      </c>
      <c r="G6" s="143">
        <f>CdTrp1!B216+CdTrp2!B216+CdTrp3!B216+CdTrp4!B216</f>
        <v>0.83194969565217392</v>
      </c>
      <c r="H6" s="143">
        <f>CdTrp1!C216+CdTrp2!C216+CdTrp3!C216+CdTrp4!C216</f>
        <v>0.83194969565217392</v>
      </c>
      <c r="I6" s="143">
        <f>CdTrp1!D216+CdTrp2!D216+CdTrp3!D216+CdTrp4!D216</f>
        <v>0.75143843478260874</v>
      </c>
      <c r="J6" s="143">
        <f>CdTrp1!E216+CdTrp2!E216+CdTrp3!E216+CdTrp4!E216</f>
        <v>0.75143843478260874</v>
      </c>
      <c r="K6" s="143">
        <f>CdTrp1!F216+CdTrp2!F216+CdTrp3!F216+CdTrp4!F216</f>
        <v>2.2537336956521736</v>
      </c>
      <c r="L6" s="143">
        <f>CdTrp1!G216+CdTrp2!G216+CdTrp3!G216+CdTrp4!G216</f>
        <v>2.3129746956521737</v>
      </c>
      <c r="M6" s="143">
        <f>CdTrp1!H216+CdTrp2!H216+CdTrp3!H216+CdTrp4!H216</f>
        <v>2.1810326086956522</v>
      </c>
      <c r="N6" s="143">
        <f>CdTrp1!I216+CdTrp2!I216+CdTrp3!I216+CdTrp4!I216</f>
        <v>4.2174647686956526</v>
      </c>
      <c r="O6" s="143">
        <f>CdTrp1!J216+CdTrp2!J216+CdTrp3!J216+CdTrp4!J216</f>
        <v>4.8295779456521739</v>
      </c>
      <c r="P6" s="143">
        <f>CdTrp1!K216+CdTrp2!K216+CdTrp3!K216+CdTrp4!K216</f>
        <v>3.99762825</v>
      </c>
      <c r="Q6" s="143">
        <f>CdTrp1!L216+CdTrp2!L216+CdTrp3!L216+CdTrp4!L216</f>
        <v>1.3759199999999998</v>
      </c>
      <c r="R6" s="143">
        <f>CdTrp1!M216+CdTrp2!M216+CdTrp3!M216+CdTrp4!M216</f>
        <v>1.3759199999999998</v>
      </c>
      <c r="S6" s="143">
        <f>CdTrp1!N216+CdTrp2!N216+CdTrp3!N216+CdTrp4!N216</f>
        <v>1.4217839999999997</v>
      </c>
      <c r="T6" s="143">
        <f>CdTrp1!O216+CdTrp2!O216+CdTrp3!O216+CdTrp4!O216</f>
        <v>1.4217839999999997</v>
      </c>
      <c r="U6" s="143">
        <f>CdTrp1!P216+CdTrp2!P216+CdTrp3!P216+CdTrp4!P216</f>
        <v>1.4217839999999997</v>
      </c>
      <c r="V6" s="143">
        <f>CdTrp1!Q216+CdTrp2!Q216+CdTrp3!Q216+CdTrp4!Q216</f>
        <v>3.2248749749999996</v>
      </c>
      <c r="W6" s="143">
        <f>CdTrp1!R216+CdTrp2!R216+CdTrp3!R216+CdTrp4!R216</f>
        <v>3.0723839999999996</v>
      </c>
      <c r="X6" s="143">
        <f>CdTrp1!S216+CdTrp2!S216+CdTrp3!S216+CdTrp4!S216</f>
        <v>3.0723839999999996</v>
      </c>
      <c r="Y6" s="143">
        <f>CdTrp1!T216+CdTrp2!T216+CdTrp3!T216+CdTrp4!T216</f>
        <v>1.4217839999999997</v>
      </c>
      <c r="Z6" s="143">
        <f>CdTrp1!U216+CdTrp2!U216+CdTrp3!U216+CdTrp4!U216</f>
        <v>0.83194969565217392</v>
      </c>
      <c r="AA6" s="143">
        <f>CdTrp1!V216+CdTrp2!V216+CdTrp3!V216+CdTrp4!V216</f>
        <v>0.80511260869565215</v>
      </c>
      <c r="AB6" s="143">
        <f>CdTrp1!W216+CdTrp2!W216+CdTrp3!W216+CdTrp4!W216</f>
        <v>0.80511260869565215</v>
      </c>
      <c r="AC6" s="143">
        <f>CdTrp1!X216+CdTrp2!X216+CdTrp3!X216+CdTrp4!X216</f>
        <v>0.83194969565217392</v>
      </c>
      <c r="AD6" s="143">
        <f>CdTrp1!Y216+CdTrp2!Y216+CdTrp3!Y216+CdTrp4!Y216</f>
        <v>0.83194969565217392</v>
      </c>
      <c r="AE6" s="153"/>
      <c r="AF6" s="154"/>
    </row>
    <row r="7" spans="1:53" x14ac:dyDescent="0.25">
      <c r="B7" s="14" t="s">
        <v>294</v>
      </c>
      <c r="C7" s="144">
        <f>ROUNDUP(C4-C6-0.9*C5,1)</f>
        <v>170.1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0.83194969565217392</v>
      </c>
      <c r="H8" s="143">
        <f t="shared" ref="H8:AD8" si="0">SUM(H5:H7)</f>
        <v>0.83194969565217392</v>
      </c>
      <c r="I8" s="143">
        <f t="shared" si="0"/>
        <v>0.75143843478260874</v>
      </c>
      <c r="J8" s="143">
        <f t="shared" si="0"/>
        <v>0.75143843478260874</v>
      </c>
      <c r="K8" s="143">
        <f t="shared" si="0"/>
        <v>2.2537336956521736</v>
      </c>
      <c r="L8" s="143">
        <f t="shared" si="0"/>
        <v>8.6277153973043497</v>
      </c>
      <c r="M8" s="143">
        <f t="shared" si="0"/>
        <v>10.973396480869566</v>
      </c>
      <c r="N8" s="143">
        <f t="shared" si="0"/>
        <v>10.437167324347829</v>
      </c>
      <c r="O8" s="143">
        <f t="shared" si="0"/>
        <v>11.191166192347826</v>
      </c>
      <c r="P8" s="143">
        <f t="shared" si="0"/>
        <v>10.550740074000002</v>
      </c>
      <c r="Q8" s="143">
        <f t="shared" si="0"/>
        <v>10.210393620000001</v>
      </c>
      <c r="R8" s="143">
        <f t="shared" si="0"/>
        <v>5.1423955434782602</v>
      </c>
      <c r="S8" s="143">
        <f t="shared" si="0"/>
        <v>5.3138087282608693</v>
      </c>
      <c r="T8" s="143">
        <f t="shared" si="0"/>
        <v>5.3138087282608693</v>
      </c>
      <c r="U8" s="143">
        <f t="shared" si="0"/>
        <v>5.3138087282608693</v>
      </c>
      <c r="V8" s="143">
        <f t="shared" si="0"/>
        <v>4.5410554532608689</v>
      </c>
      <c r="W8" s="143">
        <f t="shared" si="0"/>
        <v>4.3461070434782609</v>
      </c>
      <c r="X8" s="143">
        <f t="shared" si="0"/>
        <v>4.3461070434782609</v>
      </c>
      <c r="Y8" s="143">
        <f t="shared" si="0"/>
        <v>5.9504028058695653</v>
      </c>
      <c r="Z8" s="143">
        <f t="shared" si="0"/>
        <v>8.9564843230434796</v>
      </c>
      <c r="AA8" s="143">
        <f t="shared" si="0"/>
        <v>3.7834502086956521</v>
      </c>
      <c r="AB8" s="143">
        <f t="shared" si="0"/>
        <v>3.7849496086956522</v>
      </c>
      <c r="AC8" s="143">
        <f t="shared" si="0"/>
        <v>0.83194969565217392</v>
      </c>
      <c r="AD8" s="143">
        <f t="shared" si="0"/>
        <v>0.83194969565217392</v>
      </c>
      <c r="AE8" s="153"/>
      <c r="AF8" s="144">
        <f>SUM(G8:AD8)</f>
        <v>125.86736665147826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6.3349975956521751</v>
      </c>
      <c r="S9" s="143">
        <f>CdTrp1!N218+CdTrp2!N218+CdTrp3!N218+CdTrp4!N218</f>
        <v>6.5461641821739143</v>
      </c>
      <c r="T9" s="143">
        <f>CdTrp1!O218+CdTrp2!O218+CdTrp3!O218+CdTrp4!O218</f>
        <v>6.5461641821739143</v>
      </c>
      <c r="U9" s="143">
        <f>CdTrp1!P218+CdTrp2!P218+CdTrp3!P218+CdTrp4!P218</f>
        <v>6.5461641821739143</v>
      </c>
      <c r="V9" s="143">
        <f>CdTrp1!Q218+CdTrp2!Q218+CdTrp3!Q218+CdTrp4!Q218</f>
        <v>6.5461641821739143</v>
      </c>
      <c r="W9" s="143">
        <f>CdTrp1!R218+CdTrp2!R218+CdTrp3!R218+CdTrp4!R218</f>
        <v>6.3349975956521751</v>
      </c>
      <c r="X9" s="143">
        <f>CdTrp1!S218+CdTrp2!S218+CdTrp3!S218+CdTrp4!S218</f>
        <v>6.3349975956521751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45.189649515652185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14.6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14.6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23.6</v>
      </c>
      <c r="R14" s="145">
        <f>CdTrp1!AV54+CdTrp2!AV54+CdTrp3!AV54+CdTrp4!AV54</f>
        <v>0</v>
      </c>
      <c r="S14" s="145">
        <f>CdTrp1!AW54+CdTrp2!AW54+CdTrp3!AW54+CdTrp4!AW54</f>
        <v>4.3</v>
      </c>
      <c r="T14" s="145">
        <f>CdTrp1!AX54+CdTrp2!AX54+CdTrp3!AX54+CdTrp4!AX54</f>
        <v>11.5</v>
      </c>
      <c r="U14" s="145">
        <f>CdTrp1!AY54+CdTrp2!AY54+CdTrp3!AY54+CdTrp4!AY54</f>
        <v>6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48.5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24.5</v>
      </c>
      <c r="H18" s="158">
        <f>G18/G17</f>
        <v>0.50515463917525771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20.5</v>
      </c>
      <c r="H19" s="158">
        <f>G19/G17</f>
        <v>0.42268041237113402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0</v>
      </c>
      <c r="H20" s="158">
        <f>G20/G17</f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23.6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4.3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11.5</v>
      </c>
    </row>
    <row r="25" spans="2:9" x14ac:dyDescent="0.25">
      <c r="B25" s="19" t="str">
        <f>[1]Conc!C19</f>
        <v>15 -concentré bovin allaitant</v>
      </c>
      <c r="C25" s="144">
        <f>U14</f>
        <v>6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Q15" sqref="Q1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35.710937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0.83194969565217392</v>
      </c>
      <c r="AT5" s="13">
        <f>'Conduite Trp'!H8</f>
        <v>0.83194969565217392</v>
      </c>
      <c r="AU5" s="13">
        <f>'Conduite Trp'!I8</f>
        <v>0.75143843478260874</v>
      </c>
      <c r="AV5" s="13">
        <f>'Conduite Trp'!J8</f>
        <v>0.75143843478260874</v>
      </c>
      <c r="AW5" s="13">
        <f>'Conduite Trp'!K8</f>
        <v>2.2537336956521736</v>
      </c>
      <c r="AX5" s="13">
        <f>'Conduite Trp'!L8</f>
        <v>8.6277153973043497</v>
      </c>
      <c r="AY5" s="13">
        <f>'Conduite Trp'!M8</f>
        <v>10.973396480869566</v>
      </c>
      <c r="AZ5" s="13">
        <f>'Conduite Trp'!N8</f>
        <v>10.437167324347829</v>
      </c>
      <c r="BA5" s="13">
        <f>'Conduite Trp'!O8</f>
        <v>11.191166192347826</v>
      </c>
      <c r="BB5" s="13">
        <f>'Conduite Trp'!P8</f>
        <v>10.550740074000002</v>
      </c>
      <c r="BC5" s="13">
        <f>'Conduite Trp'!Q8</f>
        <v>10.210393620000001</v>
      </c>
      <c r="BD5" s="13">
        <f>'Conduite Trp'!R8</f>
        <v>5.1423955434782602</v>
      </c>
      <c r="BE5" s="13">
        <f>'Conduite Trp'!S8</f>
        <v>5.3138087282608693</v>
      </c>
      <c r="BF5" s="13">
        <f>'Conduite Trp'!T8</f>
        <v>5.3138087282608693</v>
      </c>
      <c r="BG5" s="13">
        <f>'Conduite Trp'!U8</f>
        <v>5.3138087282608693</v>
      </c>
      <c r="BH5" s="13">
        <f>'Conduite Trp'!V8</f>
        <v>4.5410554532608689</v>
      </c>
      <c r="BI5" s="13">
        <f>'Conduite Trp'!W8</f>
        <v>4.3461070434782609</v>
      </c>
      <c r="BJ5" s="13">
        <f>'Conduite Trp'!X8</f>
        <v>4.3461070434782609</v>
      </c>
      <c r="BK5" s="13">
        <f>'Conduite Trp'!Y8</f>
        <v>5.9504028058695653</v>
      </c>
      <c r="BL5" s="13">
        <f>'Conduite Trp'!Z8</f>
        <v>8.9564843230434796</v>
      </c>
      <c r="BM5" s="13">
        <f>'Conduite Trp'!AA8</f>
        <v>3.7834502086956521</v>
      </c>
      <c r="BN5" s="13">
        <f>'Conduite Trp'!AB8</f>
        <v>3.7849496086956522</v>
      </c>
      <c r="BO5" s="13">
        <f>'Conduite Trp'!AC8</f>
        <v>0.83194969565217392</v>
      </c>
      <c r="BP5" s="13">
        <f>'Conduite Trp'!AD8</f>
        <v>0.83194969565217392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89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279">
        <f>24+9-O30</f>
        <v>22.5</v>
      </c>
      <c r="P7">
        <v>1</v>
      </c>
      <c r="Q7" s="39">
        <v>310</v>
      </c>
      <c r="R7" s="39">
        <v>5.4</v>
      </c>
      <c r="S7" s="290" t="str">
        <f>VLOOKUP($Q7,[1]MEP!$A$5:$D$300,3)</f>
        <v>PP BONNE 1 COUPE ESTIVALE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3.5</v>
      </c>
      <c r="W7" s="76">
        <f>VLOOKUP($Q7,[1]MEP!$A$4:$K$300,6)</f>
        <v>0</v>
      </c>
      <c r="X7" s="76">
        <f>VLOOKUP($Q7,[1]MEP!$A$4:$K$300,7)</f>
        <v>1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18.900000000000002</v>
      </c>
      <c r="AF7" s="61">
        <f t="shared" ref="AF7:AF26" si="1">$R7*W7</f>
        <v>0</v>
      </c>
      <c r="AG7" s="61">
        <f t="shared" ref="AG7:AG26" si="2">$R7*X7</f>
        <v>5.4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20.52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10.973396480869566</v>
      </c>
      <c r="AZ7" s="61">
        <f t="shared" si="7"/>
        <v>10.437167324347829</v>
      </c>
      <c r="BA7" s="61">
        <f t="shared" si="7"/>
        <v>11.191166192347826</v>
      </c>
      <c r="BB7" s="61">
        <f t="shared" si="7"/>
        <v>10.550740074000002</v>
      </c>
      <c r="BC7" s="61">
        <f t="shared" si="7"/>
        <v>10.210393620000001</v>
      </c>
      <c r="BD7" s="61">
        <f t="shared" si="7"/>
        <v>5.1423955434782602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58.505259235043482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62.915000000000006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22.5</v>
      </c>
      <c r="P8">
        <v>2</v>
      </c>
      <c r="Q8" s="39">
        <v>302</v>
      </c>
      <c r="R8" s="39">
        <v>3</v>
      </c>
      <c r="S8" s="290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3.9000000000000004</v>
      </c>
      <c r="AF8" s="61">
        <f t="shared" si="1"/>
        <v>0</v>
      </c>
      <c r="AG8" s="61">
        <f t="shared" si="2"/>
        <v>5.0999999999999996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22.5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5.3138087282608693</v>
      </c>
      <c r="BF8" s="61">
        <f t="shared" si="8"/>
        <v>5.3138087282608693</v>
      </c>
      <c r="BG8" s="61">
        <f t="shared" si="8"/>
        <v>5.3138087282608693</v>
      </c>
      <c r="BH8" s="61">
        <f t="shared" si="8"/>
        <v>4.5410554532608689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20.482481638043474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62.915000000000006</v>
      </c>
      <c r="G9" s="81"/>
      <c r="H9" s="61">
        <f>SUM(L34:L43)</f>
        <v>9</v>
      </c>
      <c r="I9" s="81"/>
      <c r="J9" s="81"/>
      <c r="K9" s="93">
        <f>H9-F9</f>
        <v>-53.915000000000006</v>
      </c>
      <c r="L9" s="81"/>
      <c r="M9" s="100"/>
      <c r="P9">
        <v>3</v>
      </c>
      <c r="Q9" s="39">
        <v>228</v>
      </c>
      <c r="R9" s="39">
        <v>8.5</v>
      </c>
      <c r="S9" s="290" t="str">
        <f>VLOOKUP($Q9,[1]MEP!$A$5:$D$300,3)</f>
        <v>PP moyenne prélvt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1.6</v>
      </c>
      <c r="W9" s="76">
        <f>VLOOKUP($Q9,[1]MEP!$A$4:$K$300,6)</f>
        <v>1.4</v>
      </c>
      <c r="X9" s="76">
        <f>VLOOKUP($Q9,[1]MEP!$A$4:$K$300,7)</f>
        <v>1.2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13.600000000000001</v>
      </c>
      <c r="AF9" s="61">
        <f t="shared" si="1"/>
        <v>11.899999999999999</v>
      </c>
      <c r="AG9" s="61">
        <f t="shared" si="2"/>
        <v>10.199999999999999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0.83194969565217392</v>
      </c>
      <c r="AT9" s="61">
        <f t="shared" ref="AT9:BP9" si="10">IF(AT$4=3,AT$5,0)</f>
        <v>0.83194969565217392</v>
      </c>
      <c r="AU9" s="61">
        <f t="shared" si="10"/>
        <v>0.75143843478260874</v>
      </c>
      <c r="AV9" s="61">
        <f t="shared" si="10"/>
        <v>0.75143843478260874</v>
      </c>
      <c r="AW9" s="61">
        <f t="shared" si="10"/>
        <v>2.2537336956521736</v>
      </c>
      <c r="AX9" s="61">
        <f t="shared" si="10"/>
        <v>8.6277153973043497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4.3461070434782609</v>
      </c>
      <c r="BJ9" s="61">
        <f t="shared" si="10"/>
        <v>4.3461070434782609</v>
      </c>
      <c r="BK9" s="61">
        <f t="shared" si="10"/>
        <v>5.9504028058695653</v>
      </c>
      <c r="BL9" s="61">
        <f t="shared" si="10"/>
        <v>8.9564843230434796</v>
      </c>
      <c r="BM9" s="61">
        <f t="shared" si="10"/>
        <v>3.7834502086956521</v>
      </c>
      <c r="BN9" s="61">
        <f t="shared" si="10"/>
        <v>3.7849496086956522</v>
      </c>
      <c r="BO9" s="61">
        <f t="shared" si="10"/>
        <v>0.83194969565217392</v>
      </c>
      <c r="BP9" s="61">
        <f t="shared" si="10"/>
        <v>0.83194969565217392</v>
      </c>
      <c r="BR9" s="61">
        <f t="shared" si="9"/>
        <v>46.879625778391301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13.23</v>
      </c>
      <c r="G10" s="81"/>
      <c r="H10" s="61">
        <f>SUM(M34:M43)</f>
        <v>14</v>
      </c>
      <c r="I10" s="81"/>
      <c r="J10" s="81"/>
      <c r="K10" s="93">
        <f>H10-F10</f>
        <v>0.76999999999999957</v>
      </c>
      <c r="L10" s="81"/>
      <c r="M10" s="100"/>
      <c r="P10">
        <v>4</v>
      </c>
      <c r="Q10" s="39">
        <v>80</v>
      </c>
      <c r="R10" s="39">
        <v>1</v>
      </c>
      <c r="S10" s="290" t="str">
        <f>VLOOKUP($Q10,[1]MEP!$A$5:$D$300,3)</f>
        <v>PP moyenne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0.5</v>
      </c>
      <c r="W10" s="76">
        <f>VLOOKUP($Q10,[1]MEP!$A$4:$K$300,6)</f>
        <v>0.7</v>
      </c>
      <c r="X10" s="76">
        <f>VLOOKUP($Q10,[1]MEP!$A$4:$K$300,7)</f>
        <v>1.9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2.8</v>
      </c>
      <c r="AE10" s="61">
        <f t="shared" si="0"/>
        <v>0.5</v>
      </c>
      <c r="AF10" s="61">
        <f t="shared" si="1"/>
        <v>0.7</v>
      </c>
      <c r="AG10" s="61">
        <f t="shared" si="2"/>
        <v>1.9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2.8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301</v>
      </c>
      <c r="R11" s="39">
        <v>0</v>
      </c>
      <c r="S11" s="290" t="str">
        <f>VLOOKUP($Q11,[1]MEP!$A$5:$D$300,3)</f>
        <v>PP EXCELLENTE 1  COUPE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2.5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4</v>
      </c>
      <c r="S12" s="290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4.28</v>
      </c>
      <c r="AF12" s="61">
        <f t="shared" si="1"/>
        <v>0</v>
      </c>
      <c r="AG12" s="61">
        <f t="shared" si="2"/>
        <v>9.8439999999999994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23.968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14.6</v>
      </c>
      <c r="G13" s="81"/>
      <c r="H13" s="61">
        <f>F61</f>
        <v>9</v>
      </c>
      <c r="I13" s="81"/>
      <c r="J13" s="81"/>
      <c r="K13" s="93">
        <f>H13-F13</f>
        <v>-5.6</v>
      </c>
      <c r="L13" s="81"/>
      <c r="M13" s="100"/>
      <c r="P13">
        <v>7</v>
      </c>
      <c r="Q13" s="39">
        <v>317</v>
      </c>
      <c r="R13" s="39"/>
      <c r="S13" s="290" t="str">
        <f>VLOOKUP($Q13,[1]MEP!$A$5:$D$300,3)</f>
        <v>PP MOYENNE 1 COUPE ESTIVALE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2.5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>
        <v>226</v>
      </c>
      <c r="R14" s="39">
        <v>0.6</v>
      </c>
      <c r="S14" s="290" t="str">
        <f>VLOOKUP($Q14,[1]MEP!$A$5:$D$300,3)</f>
        <v>PP bonne 2 coupes SANS  P printemps</v>
      </c>
      <c r="T14" s="76" t="str">
        <f>VLOOKUP($Q14,[1]MEP!$A$5:$D$300,4)</f>
        <v>zone 3</v>
      </c>
      <c r="U14" s="76" t="str">
        <f>VLOOKUP($Q14,[1]MEP!$A$4:$K$300,2)</f>
        <v>F/P</v>
      </c>
      <c r="V14" s="76">
        <f>VLOOKUP($Q14,[1]MEP!$A$4:$K$300,5)</f>
        <v>0</v>
      </c>
      <c r="W14" s="76">
        <f>VLOOKUP($Q14,[1]MEP!$A$4:$K$300,6)</f>
        <v>0.8</v>
      </c>
      <c r="X14" s="76">
        <f>VLOOKUP($Q14,[1]MEP!$A$4:$K$300,7)</f>
        <v>2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5.5</v>
      </c>
      <c r="AE14" s="61">
        <f t="shared" si="0"/>
        <v>0</v>
      </c>
      <c r="AF14" s="61">
        <f t="shared" si="1"/>
        <v>0.48</v>
      </c>
      <c r="AG14" s="61">
        <f t="shared" si="2"/>
        <v>1.2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3.3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>
        <v>225</v>
      </c>
      <c r="R15" s="39"/>
      <c r="S15" s="290" t="str">
        <f>VLOOKUP($Q15,[1]MEP!$A$5:$D$300,3)</f>
        <v>PP bonne prélevt étalé</v>
      </c>
      <c r="T15" s="76" t="str">
        <f>VLOOKUP($Q15,[1]MEP!$A$5:$D$300,4)</f>
        <v>zone 3</v>
      </c>
      <c r="U15" s="76" t="str">
        <f>VLOOKUP($Q15,[1]MEP!$A$4:$K$300,2)</f>
        <v>P</v>
      </c>
      <c r="V15" s="76">
        <f>VLOOKUP($Q15,[1]MEP!$A$4:$K$300,5)</f>
        <v>3.5</v>
      </c>
      <c r="W15" s="76">
        <f>VLOOKUP($Q15,[1]MEP!$A$4:$K$300,6)</f>
        <v>2.6</v>
      </c>
      <c r="X15" s="76">
        <f>VLOOKUP($Q15,[1]MEP!$A$4:$K$300,7)</f>
        <v>1.5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6.314740701652175</v>
      </c>
      <c r="AY15" s="13">
        <f>'Conduite Trp'!M5</f>
        <v>8.7923638721739135</v>
      </c>
      <c r="AZ15" s="13">
        <f>'Conduite Trp'!N5</f>
        <v>6.2197025556521766</v>
      </c>
      <c r="BA15" s="13">
        <f>'Conduite Trp'!O5</f>
        <v>6.3615882466956526</v>
      </c>
      <c r="BB15" s="13">
        <f>'Conduite Trp'!P5</f>
        <v>6.5531118240000019</v>
      </c>
      <c r="BC15" s="13">
        <f>'Conduite Trp'!Q5</f>
        <v>8.8344736200000007</v>
      </c>
      <c r="BD15" s="13">
        <f>'Conduite Trp'!R5</f>
        <v>3.7664755434782609</v>
      </c>
      <c r="BE15" s="13">
        <f>'Conduite Trp'!S5</f>
        <v>3.8920247282608695</v>
      </c>
      <c r="BF15" s="13">
        <f>'Conduite Trp'!T5</f>
        <v>3.8920247282608695</v>
      </c>
      <c r="BG15" s="13">
        <f>'Conduite Trp'!U5</f>
        <v>3.8920247282608695</v>
      </c>
      <c r="BH15" s="13">
        <f>'Conduite Trp'!V5</f>
        <v>1.3161804782608697</v>
      </c>
      <c r="BI15" s="13">
        <f>'Conduite Trp'!W5</f>
        <v>1.2737230434782609</v>
      </c>
      <c r="BJ15" s="13">
        <f>'Conduite Trp'!X5</f>
        <v>1.2737230434782609</v>
      </c>
      <c r="BK15" s="13">
        <f>'Conduite Trp'!Y5</f>
        <v>4.5286188058695656</v>
      </c>
      <c r="BL15" s="13">
        <f>'Conduite Trp'!Z5</f>
        <v>8.1245346273913057</v>
      </c>
      <c r="BM15" s="13">
        <f>'Conduite Trp'!AA5</f>
        <v>2.9783375999999997</v>
      </c>
      <c r="BN15" s="13">
        <f>'Conduite Trp'!AB5</f>
        <v>2.9798369999999998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0.83194969565217392</v>
      </c>
      <c r="AT16" s="13">
        <f>'Conduite Trp'!H6</f>
        <v>0.83194969565217392</v>
      </c>
      <c r="AU16" s="13">
        <f>'Conduite Trp'!I6</f>
        <v>0.75143843478260874</v>
      </c>
      <c r="AV16" s="13">
        <f>'Conduite Trp'!J6</f>
        <v>0.75143843478260874</v>
      </c>
      <c r="AW16" s="13">
        <f>'Conduite Trp'!K6</f>
        <v>2.2537336956521736</v>
      </c>
      <c r="AX16" s="13">
        <f>'Conduite Trp'!L6</f>
        <v>2.3129746956521737</v>
      </c>
      <c r="AY16" s="13">
        <f>'Conduite Trp'!M6</f>
        <v>2.1810326086956522</v>
      </c>
      <c r="AZ16" s="13">
        <f>'Conduite Trp'!N6</f>
        <v>4.2174647686956526</v>
      </c>
      <c r="BA16" s="13">
        <f>'Conduite Trp'!O6</f>
        <v>4.8295779456521739</v>
      </c>
      <c r="BB16" s="13">
        <f>'Conduite Trp'!P6</f>
        <v>3.99762825</v>
      </c>
      <c r="BC16" s="13">
        <f>'Conduite Trp'!Q6</f>
        <v>1.3759199999999998</v>
      </c>
      <c r="BD16" s="13">
        <f>'Conduite Trp'!R6</f>
        <v>1.3759199999999998</v>
      </c>
      <c r="BE16" s="13">
        <f>'Conduite Trp'!S6</f>
        <v>1.4217839999999997</v>
      </c>
      <c r="BF16" s="13">
        <f>'Conduite Trp'!T6</f>
        <v>1.4217839999999997</v>
      </c>
      <c r="BG16" s="13">
        <f>'Conduite Trp'!U6</f>
        <v>1.4217839999999997</v>
      </c>
      <c r="BH16" s="13">
        <f>'Conduite Trp'!V6</f>
        <v>3.2248749749999996</v>
      </c>
      <c r="BI16" s="13">
        <f>'Conduite Trp'!W6</f>
        <v>3.0723839999999996</v>
      </c>
      <c r="BJ16" s="13">
        <f>'Conduite Trp'!X6</f>
        <v>3.0723839999999996</v>
      </c>
      <c r="BK16" s="13">
        <f>'Conduite Trp'!Y6</f>
        <v>1.4217839999999997</v>
      </c>
      <c r="BL16" s="13">
        <f>'Conduite Trp'!Z6</f>
        <v>0.83194969565217392</v>
      </c>
      <c r="BM16" s="13">
        <f>'Conduite Trp'!AA6</f>
        <v>0.80511260869565215</v>
      </c>
      <c r="BN16" s="13">
        <f>'Conduite Trp'!AB6</f>
        <v>0.80511260869565215</v>
      </c>
      <c r="BO16" s="13">
        <f>'Conduite Trp'!AC6</f>
        <v>0.83194969565217392</v>
      </c>
      <c r="BP16" s="13">
        <f>'Conduite Trp'!AD6</f>
        <v>0.83194969565217392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8.7923638721739135</v>
      </c>
      <c r="AZ19" s="61">
        <f t="shared" si="15"/>
        <v>6.2197025556521766</v>
      </c>
      <c r="BA19" s="61">
        <f t="shared" si="15"/>
        <v>6.3615882466956526</v>
      </c>
      <c r="BB19" s="61">
        <f t="shared" si="15"/>
        <v>6.5531118240000019</v>
      </c>
      <c r="BC19" s="61">
        <f t="shared" si="15"/>
        <v>8.8344736200000007</v>
      </c>
      <c r="BD19" s="61">
        <f t="shared" si="15"/>
        <v>3.7664755434782609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40.527715661999999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3.8920247282608695</v>
      </c>
      <c r="BF20" s="61">
        <f t="shared" si="16"/>
        <v>3.8920247282608695</v>
      </c>
      <c r="BG20" s="61">
        <f t="shared" si="16"/>
        <v>3.8920247282608695</v>
      </c>
      <c r="BH20" s="61">
        <f t="shared" si="16"/>
        <v>1.3161804782608697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12.992254663043479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6.314740701652175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1.2737230434782609</v>
      </c>
      <c r="BJ21" s="61">
        <f t="shared" si="18"/>
        <v>1.2737230434782609</v>
      </c>
      <c r="BK21" s="61">
        <f t="shared" si="18"/>
        <v>4.5286188058695656</v>
      </c>
      <c r="BL21" s="61">
        <f t="shared" si="18"/>
        <v>8.1245346273913057</v>
      </c>
      <c r="BM21" s="61">
        <f t="shared" si="18"/>
        <v>2.9783375999999997</v>
      </c>
      <c r="BN21" s="61">
        <f t="shared" si="18"/>
        <v>2.9798369999999998</v>
      </c>
      <c r="BO21" s="61">
        <f t="shared" si="18"/>
        <v>0</v>
      </c>
      <c r="BP21" s="61">
        <f t="shared" si="18"/>
        <v>0</v>
      </c>
      <c r="BR21" s="61">
        <f t="shared" si="17"/>
        <v>27.473514821869568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59.42090000000001</v>
      </c>
      <c r="E24" s="61">
        <f t="shared" si="21"/>
        <v>20.779999999999998</v>
      </c>
      <c r="F24" s="61">
        <f t="shared" si="21"/>
        <v>55.908999999999999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117.30712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58.505259235043482</v>
      </c>
      <c r="E25" s="61">
        <f>BR8</f>
        <v>20.482481638043474</v>
      </c>
      <c r="F25" s="61">
        <f>BR9</f>
        <v>46.879625778391301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170.1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0.91564076495652813</v>
      </c>
      <c r="E27" s="93">
        <f t="shared" si="23"/>
        <v>0.29751836195652359</v>
      </c>
      <c r="F27" s="93">
        <f t="shared" si="23"/>
        <v>9.0293742216086983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-52.792879999999997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41.180000000000007</v>
      </c>
      <c r="AF27" s="75">
        <f t="shared" ref="AF27:AJ27" si="24">SUM(AF7:AF26)</f>
        <v>13.079999999999998</v>
      </c>
      <c r="AG27" s="75">
        <f t="shared" si="24"/>
        <v>33.643999999999998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73.087999999999994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2.1810326086956522</v>
      </c>
      <c r="AZ27" s="61">
        <f t="shared" si="25"/>
        <v>4.2174647686956526</v>
      </c>
      <c r="BA27" s="61">
        <f t="shared" si="25"/>
        <v>4.8295779456521739</v>
      </c>
      <c r="BB27" s="61">
        <f t="shared" si="25"/>
        <v>3.99762825</v>
      </c>
      <c r="BC27" s="61">
        <f t="shared" si="25"/>
        <v>1.3759199999999998</v>
      </c>
      <c r="BD27" s="61">
        <f t="shared" si="25"/>
        <v>1.3759199999999998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17.97754357304348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1.4217839999999997</v>
      </c>
      <c r="BF28" s="61">
        <f t="shared" si="26"/>
        <v>1.4217839999999997</v>
      </c>
      <c r="BG28" s="61">
        <f t="shared" si="26"/>
        <v>1.4217839999999997</v>
      </c>
      <c r="BH28" s="61">
        <f t="shared" si="26"/>
        <v>3.2248749749999996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7.4902269749999988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10.5</v>
      </c>
      <c r="P29">
        <v>1</v>
      </c>
      <c r="Q29" s="39">
        <v>225</v>
      </c>
      <c r="R29" s="39">
        <v>2.5</v>
      </c>
      <c r="S29" s="290" t="str">
        <f>VLOOKUP($Q29,[1]MEP!$A$5:$D$300,3)</f>
        <v>PP bonne prélevt étalé</v>
      </c>
      <c r="T29" s="76" t="str">
        <f>VLOOKUP($Q29,[1]MEP!$A$5:$D$300,4)</f>
        <v>zone 3</v>
      </c>
      <c r="U29" s="76" t="str">
        <f>VLOOKUP($Q29,[1]MEP!$A$4:$K$300,2)</f>
        <v>P</v>
      </c>
      <c r="V29" s="76">
        <f>VLOOKUP($Q29,[1]MEP!$A$4:$K$300,5)</f>
        <v>3.5</v>
      </c>
      <c r="W29" s="76">
        <f>VLOOKUP($Q29,[1]MEP!$A$4:$K$300,6)</f>
        <v>2.6</v>
      </c>
      <c r="X29" s="76">
        <f>VLOOKUP($Q29,[1]MEP!$A$4:$K$300,7)</f>
        <v>1.5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8.75</v>
      </c>
      <c r="AF29" s="61">
        <f t="shared" ref="AF29:AF48" si="29">$R29*W29</f>
        <v>6.5</v>
      </c>
      <c r="AG29" s="61">
        <f t="shared" ref="AG29:AG48" si="30">$R29*X29</f>
        <v>3.75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0.83194969565217392</v>
      </c>
      <c r="AT29" s="61">
        <f t="shared" ref="AT29:BP29" si="35">IF(AT$4=3,AT$16,0)</f>
        <v>0.83194969565217392</v>
      </c>
      <c r="AU29" s="61">
        <f t="shared" si="35"/>
        <v>0.75143843478260874</v>
      </c>
      <c r="AV29" s="61">
        <f t="shared" si="35"/>
        <v>0.75143843478260874</v>
      </c>
      <c r="AW29" s="61">
        <f t="shared" si="35"/>
        <v>2.2537336956521736</v>
      </c>
      <c r="AX29" s="61">
        <f t="shared" si="35"/>
        <v>2.3129746956521737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3.0723839999999996</v>
      </c>
      <c r="BJ29" s="61">
        <f t="shared" si="35"/>
        <v>3.0723839999999996</v>
      </c>
      <c r="BK29" s="61">
        <f t="shared" si="35"/>
        <v>1.4217839999999997</v>
      </c>
      <c r="BL29" s="61">
        <f t="shared" si="35"/>
        <v>0.83194969565217392</v>
      </c>
      <c r="BM29" s="61">
        <f t="shared" si="35"/>
        <v>0.80511260869565215</v>
      </c>
      <c r="BN29" s="61">
        <f t="shared" si="35"/>
        <v>0.80511260869565215</v>
      </c>
      <c r="BO29" s="61">
        <f t="shared" si="35"/>
        <v>0.83194969565217392</v>
      </c>
      <c r="BP29" s="61">
        <f t="shared" si="35"/>
        <v>0.83194969565217392</v>
      </c>
      <c r="BR29" s="61">
        <f t="shared" si="27"/>
        <v>19.406110956521736</v>
      </c>
    </row>
    <row r="30" spans="2:72" ht="15" customHeight="1" x14ac:dyDescent="0.25">
      <c r="N30" s="17" t="s">
        <v>89</v>
      </c>
      <c r="O30" s="286">
        <f>SUM(R29:R48)</f>
        <v>10.5</v>
      </c>
      <c r="P30">
        <v>2</v>
      </c>
      <c r="Q30" s="39">
        <v>30</v>
      </c>
      <c r="R30" s="39">
        <v>5</v>
      </c>
      <c r="S30" s="290" t="str">
        <f>VLOOKUP($Q30,[1]MEP!$A$5:$D$300,3)</f>
        <v>PT 2 coupes</v>
      </c>
      <c r="T30" s="76" t="str">
        <f>VLOOKUP($Q30,[1]MEP!$A$5:$D$300,4)</f>
        <v>zone 3</v>
      </c>
      <c r="U30" s="76" t="str">
        <f>VLOOKUP($Q30,[1]MEP!$A$4:$K$300,2)</f>
        <v>F/P</v>
      </c>
      <c r="V30" s="76">
        <f>VLOOKUP($Q30,[1]MEP!$A$4:$K$300,5)</f>
        <v>1.07</v>
      </c>
      <c r="W30" s="76">
        <f>VLOOKUP($Q30,[1]MEP!$A$4:$K$300,6)</f>
        <v>0</v>
      </c>
      <c r="X30" s="76">
        <f>VLOOKUP($Q30,[1]MEP!$A$4:$K$300,7)</f>
        <v>2.4609999999999999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5.992</v>
      </c>
      <c r="AE30" s="61">
        <f t="shared" si="28"/>
        <v>5.3500000000000005</v>
      </c>
      <c r="AF30" s="61">
        <f t="shared" si="29"/>
        <v>0</v>
      </c>
      <c r="AG30" s="61">
        <f t="shared" si="30"/>
        <v>12.305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29.96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129</v>
      </c>
      <c r="R31" s="39"/>
      <c r="S31" s="290" t="str">
        <f>VLOOKUP($Q31,[1]MEP!$A$5:$D$300,3)</f>
        <v>PP bonne 1 coupe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1.07</v>
      </c>
      <c r="W31" s="76">
        <f>VLOOKUP($Q31,[1]MEP!$A$4:$K$300,6)</f>
        <v>1.498</v>
      </c>
      <c r="X31" s="76">
        <f>VLOOKUP($Q31,[1]MEP!$A$4:$K$300,7)</f>
        <v>2.3540000000000005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3.6379999999999999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>
        <v>216</v>
      </c>
      <c r="R32" s="39">
        <v>1.5</v>
      </c>
      <c r="S32" s="290" t="str">
        <f>VLOOKUP($Q32,[1]MEP!$A$5:$D$300,3)</f>
        <v>PP bonne 2 coupes estivales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2.7606000000000002</v>
      </c>
      <c r="W32" s="76">
        <f>VLOOKUP($Q32,[1]MEP!$A$4:$K$300,6)</f>
        <v>0</v>
      </c>
      <c r="X32" s="76">
        <f>VLOOKUP($Q32,[1]MEP!$A$4:$K$300,7)</f>
        <v>2.14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4.0060799999999999</v>
      </c>
      <c r="AE32" s="61">
        <f t="shared" si="28"/>
        <v>4.1409000000000002</v>
      </c>
      <c r="AF32" s="61">
        <f t="shared" si="29"/>
        <v>0</v>
      </c>
      <c r="AG32" s="61">
        <f t="shared" si="30"/>
        <v>3.21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6.0091199999999994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198</v>
      </c>
      <c r="R33" s="39">
        <v>0</v>
      </c>
      <c r="S33" s="290" t="str">
        <f>VLOOKUP($Q33,[1]MEP!$A$5:$D$300,3)</f>
        <v>PT Excellente 2 coupes avec deprimage</v>
      </c>
      <c r="T33" s="76" t="str">
        <f>VLOOKUP($Q33,[1]MEP!$A$5:$D$300,4)</f>
        <v>zone 3</v>
      </c>
      <c r="U33" s="76" t="str">
        <f>VLOOKUP($Q33,[1]MEP!$A$4:$K$300,2)</f>
        <v>F/P</v>
      </c>
      <c r="V33" s="76">
        <f>VLOOKUP($Q33,[1]MEP!$A$4:$K$300,5)</f>
        <v>1.1000000000000001</v>
      </c>
      <c r="W33" s="76">
        <f>VLOOKUP($Q33,[1]MEP!$A$4:$K$300,6)</f>
        <v>0</v>
      </c>
      <c r="X33" s="76">
        <f>VLOOKUP($Q33,[1]MEP!$A$4:$K$300,7)</f>
        <v>2.2999999999999998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7.5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14</v>
      </c>
      <c r="P34">
        <v>6</v>
      </c>
      <c r="Q34" s="39">
        <v>226</v>
      </c>
      <c r="R34" s="39">
        <v>1.5</v>
      </c>
      <c r="S34" s="290" t="str">
        <f>VLOOKUP($Q34,[1]MEP!$A$5:$D$300,3)</f>
        <v>PP bonne 2 coupes SANS  P printemps</v>
      </c>
      <c r="T34" s="76" t="str">
        <f>VLOOKUP($Q34,[1]MEP!$A$5:$D$300,4)</f>
        <v>zone 3</v>
      </c>
      <c r="U34" s="76" t="str">
        <f>VLOOKUP($Q34,[1]MEP!$A$4:$K$300,2)</f>
        <v>F/P</v>
      </c>
      <c r="V34" s="76">
        <f>VLOOKUP($Q34,[1]MEP!$A$4:$K$300,5)</f>
        <v>0</v>
      </c>
      <c r="W34" s="76">
        <f>VLOOKUP($Q34,[1]MEP!$A$4:$K$300,6)</f>
        <v>0.8</v>
      </c>
      <c r="X34" s="76">
        <f>VLOOKUP($Q34,[1]MEP!$A$4:$K$300,7)</f>
        <v>2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5.5</v>
      </c>
      <c r="AE34" s="61">
        <f t="shared" si="28"/>
        <v>0</v>
      </c>
      <c r="AF34" s="61">
        <f t="shared" si="29"/>
        <v>1.2000000000000002</v>
      </c>
      <c r="AG34" s="61">
        <f t="shared" si="30"/>
        <v>3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8.25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3 </v>
      </c>
      <c r="D35" s="39">
        <v>3</v>
      </c>
      <c r="E35" s="39">
        <v>1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9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3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9</v>
      </c>
      <c r="M36" s="61">
        <f t="shared" si="41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18.240900000000003</v>
      </c>
      <c r="AF49" s="75">
        <f t="shared" ref="AF49" si="50">SUM(AF29:AF48)</f>
        <v>7.7</v>
      </c>
      <c r="AG49" s="75">
        <f t="shared" ref="AG49" si="51">SUM(AG29:AG48)</f>
        <v>22.265000000000001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44.219120000000004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5.6</v>
      </c>
      <c r="P51">
        <v>1</v>
      </c>
      <c r="Q51" s="39">
        <v>47</v>
      </c>
      <c r="R51" s="39">
        <v>3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9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5.6</v>
      </c>
      <c r="P52">
        <v>2</v>
      </c>
      <c r="Q52" s="39">
        <v>46</v>
      </c>
      <c r="R52" s="39">
        <v>2.6</v>
      </c>
      <c r="S52" s="290" t="str">
        <f>VLOOKUP($Q52,[1]MEP!$A$5:$D$300,3)</f>
        <v xml:space="preserve">lande pas utilisée 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41.180000000000007</v>
      </c>
      <c r="E72" s="61">
        <f t="shared" ref="E72:H72" si="69">AF27</f>
        <v>13.079999999999998</v>
      </c>
      <c r="F72" s="61">
        <f t="shared" si="69"/>
        <v>33.643999999999998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117.30712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40.527715661999999</v>
      </c>
      <c r="E73" s="61">
        <f>BR20</f>
        <v>12.992254663043479</v>
      </c>
      <c r="F73" s="61">
        <f>BR21</f>
        <v>27.473514821869568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170.1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0.65228433800000829</v>
      </c>
      <c r="E75" s="93">
        <f t="shared" ref="E75:I75" si="71">E72-E73</f>
        <v>8.7745336956519537E-2</v>
      </c>
      <c r="F75" s="93">
        <f t="shared" si="71"/>
        <v>6.1704851781304306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-52.792879999999997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18.240900000000003</v>
      </c>
      <c r="E82" s="61">
        <f t="shared" ref="E82:H82" si="72">AF49</f>
        <v>7.7</v>
      </c>
      <c r="F82" s="61">
        <f t="shared" si="72"/>
        <v>22.265000000000001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17.97754357304348</v>
      </c>
      <c r="E83" s="61">
        <f>BR28</f>
        <v>7.4902269749999988</v>
      </c>
      <c r="F83" s="61">
        <f>BR29</f>
        <v>19.406110956521736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0.26335642695652339</v>
      </c>
      <c r="E85" s="93">
        <f t="shared" ref="E85:H85" si="73">E82-E83</f>
        <v>0.20977302500000139</v>
      </c>
      <c r="F85" s="93">
        <f t="shared" si="73"/>
        <v>2.8588890434782641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G8" sqref="G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2" t="s">
        <v>1448</v>
      </c>
      <c r="B3" s="292" t="s">
        <v>1444</v>
      </c>
    </row>
    <row r="4" spans="1:5" x14ac:dyDescent="0.25">
      <c r="A4" s="292" t="s">
        <v>1447</v>
      </c>
      <c r="B4" t="s">
        <v>487</v>
      </c>
      <c r="C4" t="s">
        <v>450</v>
      </c>
      <c r="D4" t="s">
        <v>1445</v>
      </c>
      <c r="E4" t="s">
        <v>1446</v>
      </c>
    </row>
    <row r="5" spans="1:5" x14ac:dyDescent="0.25">
      <c r="A5" s="15">
        <v>30</v>
      </c>
      <c r="B5" s="293">
        <v>4</v>
      </c>
      <c r="C5" s="293"/>
      <c r="D5" s="293"/>
      <c r="E5" s="293">
        <v>4</v>
      </c>
    </row>
    <row r="6" spans="1:5" x14ac:dyDescent="0.25">
      <c r="A6" s="15">
        <v>46</v>
      </c>
      <c r="B6" s="293"/>
      <c r="C6" s="293">
        <v>2.6</v>
      </c>
      <c r="D6" s="293"/>
      <c r="E6" s="293">
        <v>2.6</v>
      </c>
    </row>
    <row r="7" spans="1:5" x14ac:dyDescent="0.25">
      <c r="A7" s="15">
        <v>47</v>
      </c>
      <c r="B7" s="293">
        <v>3</v>
      </c>
      <c r="C7" s="293"/>
      <c r="D7" s="293"/>
      <c r="E7" s="293">
        <v>3</v>
      </c>
    </row>
    <row r="8" spans="1:5" x14ac:dyDescent="0.25">
      <c r="A8" s="15">
        <v>80</v>
      </c>
      <c r="B8" s="293"/>
      <c r="C8" s="293">
        <v>2</v>
      </c>
      <c r="D8" s="293"/>
      <c r="E8" s="293">
        <v>2</v>
      </c>
    </row>
    <row r="9" spans="1:5" x14ac:dyDescent="0.25">
      <c r="A9" s="15">
        <v>129</v>
      </c>
      <c r="B9" s="293">
        <v>1.5</v>
      </c>
      <c r="C9" s="293"/>
      <c r="D9" s="293"/>
      <c r="E9" s="293">
        <v>1.5</v>
      </c>
    </row>
    <row r="10" spans="1:5" x14ac:dyDescent="0.25">
      <c r="A10" s="15">
        <v>198</v>
      </c>
      <c r="B10" s="293">
        <v>1</v>
      </c>
      <c r="C10" s="293">
        <v>4</v>
      </c>
      <c r="D10" s="293"/>
      <c r="E10" s="293">
        <v>5</v>
      </c>
    </row>
    <row r="11" spans="1:5" x14ac:dyDescent="0.25">
      <c r="A11" s="15">
        <v>216</v>
      </c>
      <c r="B11" s="293">
        <v>2</v>
      </c>
      <c r="C11" s="293"/>
      <c r="D11" s="293"/>
      <c r="E11" s="293">
        <v>2</v>
      </c>
    </row>
    <row r="12" spans="1:5" x14ac:dyDescent="0.25">
      <c r="A12" s="15">
        <v>225</v>
      </c>
      <c r="B12" s="293">
        <v>2</v>
      </c>
      <c r="C12" s="293"/>
      <c r="D12" s="293"/>
      <c r="E12" s="293">
        <v>2</v>
      </c>
    </row>
    <row r="13" spans="1:5" x14ac:dyDescent="0.25">
      <c r="A13" s="15">
        <v>228</v>
      </c>
      <c r="B13" s="293"/>
      <c r="C13" s="293">
        <v>1.5</v>
      </c>
      <c r="D13" s="293"/>
      <c r="E13" s="293">
        <v>1.5</v>
      </c>
    </row>
    <row r="14" spans="1:5" x14ac:dyDescent="0.25">
      <c r="A14" s="15">
        <v>301</v>
      </c>
      <c r="B14" s="293"/>
      <c r="C14" s="293">
        <v>2</v>
      </c>
      <c r="D14" s="293"/>
      <c r="E14" s="293">
        <v>2</v>
      </c>
    </row>
    <row r="15" spans="1:5" x14ac:dyDescent="0.25">
      <c r="A15" s="15">
        <v>302</v>
      </c>
      <c r="B15" s="293"/>
      <c r="C15" s="293">
        <v>8</v>
      </c>
      <c r="D15" s="293"/>
      <c r="E15" s="293">
        <v>8</v>
      </c>
    </row>
    <row r="16" spans="1:5" x14ac:dyDescent="0.25">
      <c r="A16" s="15" t="s">
        <v>1445</v>
      </c>
      <c r="B16" s="293">
        <v>2</v>
      </c>
      <c r="C16" s="293"/>
      <c r="D16" s="293"/>
      <c r="E16" s="293">
        <v>2</v>
      </c>
    </row>
    <row r="17" spans="1:5" x14ac:dyDescent="0.25">
      <c r="A17" s="15">
        <v>310</v>
      </c>
      <c r="B17" s="293"/>
      <c r="C17" s="293">
        <v>5</v>
      </c>
      <c r="D17" s="293"/>
      <c r="E17" s="293">
        <v>5</v>
      </c>
    </row>
    <row r="18" spans="1:5" x14ac:dyDescent="0.25">
      <c r="A18" s="15" t="s">
        <v>1446</v>
      </c>
      <c r="B18" s="293">
        <v>15.5</v>
      </c>
      <c r="C18" s="293">
        <v>25.1</v>
      </c>
      <c r="D18" s="293"/>
      <c r="E18" s="293">
        <v>40.6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zoomScale="80" workbookViewId="0">
      <selection activeCell="O19" sqref="O19:Q31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129</v>
      </c>
      <c r="G2" s="291">
        <v>0.8</v>
      </c>
      <c r="H2" s="291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 t="s">
        <v>530</v>
      </c>
      <c r="F3" s="9">
        <v>198</v>
      </c>
      <c r="G3" s="291">
        <v>0.5</v>
      </c>
      <c r="H3" s="291"/>
      <c r="I3" s="9">
        <v>2</v>
      </c>
      <c r="J3" s="9">
        <v>0</v>
      </c>
      <c r="K3" s="8">
        <f t="shared" ref="K3:K32" si="7">IF(B3=2,0,IF(I3=$Y$11,G3*$AB$11,IF(I3=$Y$12,G3*$AB$12,IF(I3=$Y$13,G3*$AB$13,""))))</f>
        <v>0.5</v>
      </c>
      <c r="L3" s="8">
        <f t="shared" ref="L3:L32" si="8">IF(J3=$Y$6,K3*$AA$6,IF(J3=$Y$7,K3*$AA$7,IF(J3=$Y$8,K3*$AA$8,"")))</f>
        <v>0.5</v>
      </c>
      <c r="M3" s="10">
        <f>IF(I3=$Y$11,SQRT(L3*10000),SQRT(Parcellaire!L3*10000)/$AC$12)</f>
        <v>50</v>
      </c>
      <c r="N3" s="10">
        <f t="shared" ref="N3:N32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225</v>
      </c>
      <c r="U3" s="10">
        <f>IF(C3=2,Q3*M3,0)</f>
        <v>150</v>
      </c>
      <c r="V3" s="27">
        <f t="shared" si="6"/>
        <v>300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487</v>
      </c>
      <c r="E4" s="9" t="s">
        <v>530</v>
      </c>
      <c r="F4" s="9">
        <v>30</v>
      </c>
      <c r="G4" s="291">
        <v>2</v>
      </c>
      <c r="H4" s="291"/>
      <c r="I4" s="9">
        <v>2</v>
      </c>
      <c r="J4" s="9">
        <v>0</v>
      </c>
      <c r="K4" s="8">
        <f t="shared" si="7"/>
        <v>2</v>
      </c>
      <c r="L4" s="8">
        <f t="shared" si="8"/>
        <v>2</v>
      </c>
      <c r="M4" s="10">
        <f>IF(I4=$Y$11,SQRT(L4*10000),SQRT(Parcellaire!L4*10000)/$AC$12)</f>
        <v>100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450</v>
      </c>
      <c r="U4" s="10">
        <f>IF(C4=2,Q4*M4,0)</f>
        <v>300</v>
      </c>
      <c r="V4" s="27">
        <f t="shared" si="6"/>
        <v>600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487</v>
      </c>
      <c r="E5" s="9" t="s">
        <v>530</v>
      </c>
      <c r="F5" s="9">
        <v>30</v>
      </c>
      <c r="G5" s="291">
        <v>2</v>
      </c>
      <c r="H5" s="291"/>
      <c r="I5" s="9">
        <v>3</v>
      </c>
      <c r="J5" s="9">
        <v>0</v>
      </c>
      <c r="K5" s="8">
        <f t="shared" si="7"/>
        <v>2.2000000000000002</v>
      </c>
      <c r="L5" s="8">
        <f t="shared" si="8"/>
        <v>2.2000000000000002</v>
      </c>
      <c r="M5" s="10">
        <f>IF(I5=$Y$11,SQRT(L5*10000),SQRT(Parcellaire!L5*10000)/$AC$12)</f>
        <v>104.88088481701514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>
        <f t="shared" si="4"/>
        <v>471.9639816765681</v>
      </c>
      <c r="U5" s="10">
        <f t="shared" si="5"/>
        <v>314.64265445104542</v>
      </c>
      <c r="V5" s="27">
        <f t="shared" si="6"/>
        <v>629.28530890209083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 t="s">
        <v>530</v>
      </c>
      <c r="F6" s="9">
        <v>216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IF(I6=$Y$11,SQRT(L6*10000),SQRT(Parcellaire!L6*10000)/$AC$12)</f>
        <v>104.88088481701514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 t="s">
        <v>1443</v>
      </c>
      <c r="F7" s="9">
        <v>225</v>
      </c>
      <c r="G7" s="291">
        <v>2</v>
      </c>
      <c r="H7" s="291"/>
      <c r="I7" s="9">
        <v>3</v>
      </c>
      <c r="J7" s="9">
        <v>0.5</v>
      </c>
      <c r="K7" s="8">
        <f t="shared" si="7"/>
        <v>2.2000000000000002</v>
      </c>
      <c r="L7" s="8">
        <f t="shared" si="8"/>
        <v>2.4200000000000004</v>
      </c>
      <c r="M7" s="10">
        <f>IF(I7=$Y$11,SQRT(L7*10000),SQRT(Parcellaire!L7*10000)/$AC$12)</f>
        <v>110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495</v>
      </c>
      <c r="U7" s="10">
        <f t="shared" si="5"/>
        <v>330</v>
      </c>
      <c r="V7" s="27">
        <f t="shared" si="6"/>
        <v>660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487</v>
      </c>
      <c r="E8" s="9" t="s">
        <v>530</v>
      </c>
      <c r="F8" s="9">
        <v>198</v>
      </c>
      <c r="G8" s="291">
        <v>0.5</v>
      </c>
      <c r="H8" s="291"/>
      <c r="I8" s="9">
        <v>3</v>
      </c>
      <c r="J8" s="9">
        <v>0</v>
      </c>
      <c r="K8" s="8">
        <f t="shared" si="7"/>
        <v>0.55000000000000004</v>
      </c>
      <c r="L8" s="8">
        <f t="shared" si="8"/>
        <v>0.55000000000000004</v>
      </c>
      <c r="M8" s="10">
        <f>IF(I8=$Y$11,SQRT(L8*10000),SQRT(Parcellaire!L8*10000)/$AC$12)</f>
        <v>52.440442408507572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235.98199083828405</v>
      </c>
      <c r="U8" s="10">
        <f t="shared" ref="U8:U9" si="13">IF(C8=2,Q8*M8,0)</f>
        <v>157.32132722552271</v>
      </c>
      <c r="V8" s="27">
        <f t="shared" ref="V8:V9" si="14">O8*M8</f>
        <v>314.64265445104542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487</v>
      </c>
      <c r="E9" s="9" t="s">
        <v>1443</v>
      </c>
      <c r="F9" s="9">
        <v>129</v>
      </c>
      <c r="G9" s="291">
        <v>0.7</v>
      </c>
      <c r="H9" s="291"/>
      <c r="I9" s="9">
        <v>3</v>
      </c>
      <c r="J9" s="9">
        <v>0</v>
      </c>
      <c r="K9" s="8">
        <f t="shared" si="7"/>
        <v>0.77</v>
      </c>
      <c r="L9" s="8">
        <f t="shared" si="8"/>
        <v>0.77</v>
      </c>
      <c r="M9" s="10">
        <f>IF(I9=$Y$11,SQRT(L9*10000),SQRT(Parcellaire!L9*10000)/$AC$12)</f>
        <v>62.048368229954278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279.21765703479423</v>
      </c>
      <c r="U9" s="10">
        <f t="shared" si="13"/>
        <v>186.14510468986282</v>
      </c>
      <c r="V9" s="27">
        <f t="shared" si="14"/>
        <v>372.29020937972564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 t="s">
        <v>1443</v>
      </c>
      <c r="F10" s="9">
        <v>301</v>
      </c>
      <c r="G10" s="291">
        <v>1.3</v>
      </c>
      <c r="H10" s="291"/>
      <c r="I10" s="9">
        <v>3</v>
      </c>
      <c r="J10" s="9">
        <v>1</v>
      </c>
      <c r="K10" s="8">
        <f t="shared" si="7"/>
        <v>1.4300000000000002</v>
      </c>
      <c r="L10" s="8">
        <f t="shared" si="8"/>
        <v>1.7160000000000002</v>
      </c>
      <c r="M10" s="10">
        <f>IF(I10=$Y$11,SQRT(L10*10000),SQRT(Parcellaire!L10*10000)/$AC$12)</f>
        <v>92.62828941527529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416.82730236873886</v>
      </c>
      <c r="U10" s="10">
        <f t="shared" si="5"/>
        <v>277.88486824582588</v>
      </c>
      <c r="V10" s="27">
        <f t="shared" si="6"/>
        <v>555.76973649165177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1443</v>
      </c>
      <c r="F11" s="9">
        <v>302</v>
      </c>
      <c r="G11" s="291">
        <v>4</v>
      </c>
      <c r="H11" s="291">
        <v>3</v>
      </c>
      <c r="I11" s="9">
        <v>3</v>
      </c>
      <c r="J11" s="9">
        <v>0.5</v>
      </c>
      <c r="K11" s="8">
        <f t="shared" si="7"/>
        <v>4.4000000000000004</v>
      </c>
      <c r="L11" s="8">
        <f t="shared" si="8"/>
        <v>4.8400000000000007</v>
      </c>
      <c r="M11" s="10">
        <f>IF(I11=$Y$11,SQRT(L11*10000),SQRT(Parcellaire!L11*10000)/$AC$12)</f>
        <v>155.56349186104046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700.03571337468202</v>
      </c>
      <c r="U11" s="10">
        <f t="shared" si="5"/>
        <v>466.69047558312138</v>
      </c>
      <c r="V11" s="27">
        <f t="shared" si="6"/>
        <v>933.38095116624277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 t="s">
        <v>1443</v>
      </c>
      <c r="F12" s="9">
        <v>80</v>
      </c>
      <c r="G12" s="291"/>
      <c r="H12" s="291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 t="s">
        <v>530</v>
      </c>
      <c r="F13" s="9">
        <v>198</v>
      </c>
      <c r="G13" s="291">
        <v>4</v>
      </c>
      <c r="H13" s="291">
        <v>2.5</v>
      </c>
      <c r="I13" s="9">
        <v>2</v>
      </c>
      <c r="J13" s="9">
        <v>0</v>
      </c>
      <c r="K13" s="8">
        <f t="shared" si="7"/>
        <v>4</v>
      </c>
      <c r="L13" s="8">
        <f t="shared" si="8"/>
        <v>4</v>
      </c>
      <c r="M13" s="10">
        <f>IF(I13=$Y$11,SQRT(L13*10000),SQRT(Parcellaire!L13*10000)/$AC$12)</f>
        <v>141.42135623730948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636.39610306789268</v>
      </c>
      <c r="U13" s="10">
        <f t="shared" si="5"/>
        <v>424.26406871192842</v>
      </c>
      <c r="V13" s="27">
        <f t="shared" si="6"/>
        <v>848.52813742385683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 t="s">
        <v>1443</v>
      </c>
      <c r="F14" s="9">
        <v>228</v>
      </c>
      <c r="G14" s="291"/>
      <c r="H14" s="291">
        <v>1.5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 t="s">
        <v>1443</v>
      </c>
      <c r="F15" s="9">
        <v>302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 t="s">
        <v>1443</v>
      </c>
      <c r="F16" s="9">
        <v>80</v>
      </c>
      <c r="G16" s="291">
        <v>1</v>
      </c>
      <c r="H16" s="291"/>
      <c r="I16" s="9">
        <v>2</v>
      </c>
      <c r="J16" s="9">
        <v>1</v>
      </c>
      <c r="K16" s="8">
        <f t="shared" si="7"/>
        <v>1</v>
      </c>
      <c r="L16" s="8">
        <f t="shared" si="8"/>
        <v>1.2</v>
      </c>
      <c r="M16" s="10">
        <f>IF(I16=$Y$11,SQRT(L16*10000),SQRT(Parcellaire!L16*10000)/$AC$12)</f>
        <v>77.459666924148337</v>
      </c>
      <c r="N16" s="10">
        <f t="shared" si="9"/>
        <v>6</v>
      </c>
      <c r="O16" s="24">
        <v>0</v>
      </c>
      <c r="P16" s="26"/>
      <c r="Q16" s="155">
        <v>0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 t="s">
        <v>1443</v>
      </c>
      <c r="F17" s="9">
        <v>302</v>
      </c>
      <c r="G17" s="291">
        <v>2</v>
      </c>
      <c r="H17" s="291"/>
      <c r="I17" s="9">
        <v>2</v>
      </c>
      <c r="J17" s="9">
        <v>0.5</v>
      </c>
      <c r="K17" s="8">
        <f t="shared" si="7"/>
        <v>2</v>
      </c>
      <c r="L17" s="8">
        <f t="shared" si="8"/>
        <v>2.2000000000000002</v>
      </c>
      <c r="M17" s="10">
        <f>IF(I17=$Y$11,SQRT(L17*10000),SQRT(Parcellaire!L17*10000)/$AC$12)</f>
        <v>104.88088481701514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471.9639816765681</v>
      </c>
      <c r="U17" s="10">
        <f t="shared" si="5"/>
        <v>314.64265445104542</v>
      </c>
      <c r="V17" s="27">
        <f t="shared" si="6"/>
        <v>629.28530890209083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2</v>
      </c>
      <c r="C18" s="9">
        <v>0</v>
      </c>
      <c r="D18" s="9" t="s">
        <v>487</v>
      </c>
      <c r="E18" s="9" t="s">
        <v>1440</v>
      </c>
      <c r="F18" s="9"/>
      <c r="G18" s="9">
        <v>1.2</v>
      </c>
      <c r="H18" s="9"/>
      <c r="I18" s="9">
        <v>2</v>
      </c>
      <c r="J18" s="9">
        <v>0</v>
      </c>
      <c r="K18" s="8">
        <f t="shared" si="7"/>
        <v>0</v>
      </c>
      <c r="L18" s="8">
        <f t="shared" si="8"/>
        <v>0</v>
      </c>
      <c r="M18" s="10">
        <f>IF(I18=$Y$11,SQRT(L18*10000),SQRT(Parcellaire!L18*10000)/$AC$12)</f>
        <v>0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2</v>
      </c>
      <c r="Z18" s="138" t="s">
        <v>335</v>
      </c>
      <c r="AA18" s="136">
        <f>T66</f>
        <v>8220.6057078831218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0</v>
      </c>
      <c r="D19" s="9" t="s">
        <v>487</v>
      </c>
      <c r="E19" s="9" t="s">
        <v>1440</v>
      </c>
      <c r="F19" s="9"/>
      <c r="G19" s="9">
        <v>0.8</v>
      </c>
      <c r="H19" s="9"/>
      <c r="I19" s="9">
        <v>2</v>
      </c>
      <c r="J19" s="9">
        <v>0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 t="s">
        <v>1442</v>
      </c>
      <c r="F20" s="9">
        <v>46</v>
      </c>
      <c r="G20" s="9">
        <v>2.6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3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8220.6057078831218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 t="s">
        <v>1442</v>
      </c>
      <c r="F21" s="9">
        <v>47</v>
      </c>
      <c r="G21" s="9">
        <v>3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3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450</v>
      </c>
      <c r="E22" s="9" t="s">
        <v>530</v>
      </c>
      <c r="F22" s="9">
        <v>198</v>
      </c>
      <c r="G22" s="9">
        <v>1.5</v>
      </c>
      <c r="H22" s="9"/>
      <c r="I22" s="9">
        <v>3</v>
      </c>
      <c r="J22" s="9">
        <v>0</v>
      </c>
      <c r="K22" s="8">
        <f t="shared" si="7"/>
        <v>1.6500000000000001</v>
      </c>
      <c r="L22" s="8">
        <f t="shared" si="8"/>
        <v>1.6500000000000001</v>
      </c>
      <c r="M22" s="10">
        <f>IF(I22=$Y$11,SQRT(L22*10000),SQRT(Parcellaire!L22*10000)/$AC$12)</f>
        <v>90.829510622924758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408.73279780316136</v>
      </c>
      <c r="U22" s="10">
        <f t="shared" si="5"/>
        <v>272.48853186877426</v>
      </c>
      <c r="V22" s="27">
        <f t="shared" si="6"/>
        <v>544.97706373754852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450</v>
      </c>
      <c r="E23" s="9" t="s">
        <v>1443</v>
      </c>
      <c r="F23" s="9">
        <v>302</v>
      </c>
      <c r="G23" s="9">
        <v>1</v>
      </c>
      <c r="H23" s="9"/>
      <c r="I23" s="9">
        <v>3</v>
      </c>
      <c r="J23" s="9">
        <v>0.5</v>
      </c>
      <c r="K23" s="8">
        <f t="shared" si="7"/>
        <v>1.1000000000000001</v>
      </c>
      <c r="L23" s="8">
        <f t="shared" si="8"/>
        <v>1.2100000000000002</v>
      </c>
      <c r="M23" s="10">
        <f>IF(I23=$Y$11,SQRT(L23*10000),SQRT(Parcellaire!L23*10000)/$AC$12)</f>
        <v>77.781745930520231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350.01785668734101</v>
      </c>
      <c r="U23" s="10">
        <f t="shared" si="5"/>
        <v>233.34523779156069</v>
      </c>
      <c r="V23" s="27">
        <f t="shared" si="6"/>
        <v>466.69047558312138</v>
      </c>
      <c r="W23" s="3"/>
      <c r="X23" s="3"/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450</v>
      </c>
      <c r="E24" s="9" t="s">
        <v>1443</v>
      </c>
      <c r="F24" s="9">
        <v>302</v>
      </c>
      <c r="G24" s="9">
        <v>1</v>
      </c>
      <c r="H24" s="9"/>
      <c r="I24" s="9">
        <v>3</v>
      </c>
      <c r="J24" s="9">
        <v>0.5</v>
      </c>
      <c r="K24" s="8">
        <f t="shared" si="7"/>
        <v>1.1000000000000001</v>
      </c>
      <c r="L24" s="8">
        <f t="shared" si="8"/>
        <v>1.2100000000000002</v>
      </c>
      <c r="M24" s="10">
        <f>IF(I24=$Y$11,SQRT(L24*10000),SQRT(Parcellaire!L24*10000)/$AC$12)</f>
        <v>77.781745930520231</v>
      </c>
      <c r="N24" s="10">
        <f t="shared" si="9"/>
        <v>6</v>
      </c>
      <c r="O24" s="24">
        <v>6</v>
      </c>
      <c r="P24" s="26"/>
      <c r="Q24" s="155">
        <v>3</v>
      </c>
      <c r="R24" s="10">
        <f t="shared" si="2"/>
        <v>0</v>
      </c>
      <c r="S24" s="10">
        <f t="shared" si="3"/>
        <v>0</v>
      </c>
      <c r="T24" s="10">
        <f t="shared" si="4"/>
        <v>350.01785668734101</v>
      </c>
      <c r="U24" s="10">
        <f t="shared" si="5"/>
        <v>233.34523779156069</v>
      </c>
      <c r="V24" s="27">
        <f t="shared" si="6"/>
        <v>466.69047558312138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450</v>
      </c>
      <c r="E25" s="9" t="s">
        <v>1443</v>
      </c>
      <c r="F25" s="9">
        <v>301</v>
      </c>
      <c r="G25" s="9">
        <v>0.7</v>
      </c>
      <c r="H25" s="9"/>
      <c r="I25" s="9">
        <v>3</v>
      </c>
      <c r="J25" s="9">
        <v>0.5</v>
      </c>
      <c r="K25" s="8">
        <f t="shared" si="7"/>
        <v>0.77</v>
      </c>
      <c r="L25" s="8">
        <f t="shared" si="8"/>
        <v>0.84700000000000009</v>
      </c>
      <c r="M25" s="10">
        <f>IF(I25=$Y$11,SQRT(L25*10000),SQRT(Parcellaire!L25*10000)/$AC$12)</f>
        <v>65.076877614095778</v>
      </c>
      <c r="N25" s="10">
        <f t="shared" si="9"/>
        <v>6</v>
      </c>
      <c r="O25" s="24">
        <v>6</v>
      </c>
      <c r="P25" s="26"/>
      <c r="Q25" s="155">
        <v>3</v>
      </c>
      <c r="R25" s="10">
        <f t="shared" si="2"/>
        <v>0</v>
      </c>
      <c r="S25" s="10">
        <f t="shared" si="3"/>
        <v>0</v>
      </c>
      <c r="T25" s="10">
        <f t="shared" si="4"/>
        <v>292.84594926343095</v>
      </c>
      <c r="U25" s="10">
        <f t="shared" si="5"/>
        <v>195.23063284228732</v>
      </c>
      <c r="V25" s="27">
        <f t="shared" si="6"/>
        <v>390.46126568457464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450</v>
      </c>
      <c r="E26" s="9" t="s">
        <v>1443</v>
      </c>
      <c r="F26" s="9">
        <v>310</v>
      </c>
      <c r="G26" s="9">
        <v>1.5</v>
      </c>
      <c r="H26" s="9"/>
      <c r="I26" s="9">
        <v>3</v>
      </c>
      <c r="J26" s="9">
        <v>0</v>
      </c>
      <c r="K26" s="8">
        <f t="shared" si="7"/>
        <v>1.6500000000000001</v>
      </c>
      <c r="L26" s="8">
        <f t="shared" si="8"/>
        <v>1.6500000000000001</v>
      </c>
      <c r="M26" s="10">
        <f>IF(I26=$Y$11,SQRT(L26*10000),SQRT(Parcellaire!L26*10000)/$AC$12)</f>
        <v>90.829510622924758</v>
      </c>
      <c r="N26" s="10">
        <f t="shared" si="9"/>
        <v>6</v>
      </c>
      <c r="O26" s="24">
        <v>6</v>
      </c>
      <c r="P26" s="26"/>
      <c r="Q26" s="155">
        <v>3</v>
      </c>
      <c r="R26" s="10">
        <f t="shared" si="2"/>
        <v>0</v>
      </c>
      <c r="S26" s="10">
        <f t="shared" si="3"/>
        <v>0</v>
      </c>
      <c r="T26" s="10">
        <f t="shared" si="4"/>
        <v>408.73279780316136</v>
      </c>
      <c r="U26" s="10">
        <f t="shared" si="5"/>
        <v>272.48853186877426</v>
      </c>
      <c r="V26" s="27">
        <f t="shared" si="6"/>
        <v>544.97706373754852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450</v>
      </c>
      <c r="E27" s="9" t="s">
        <v>1443</v>
      </c>
      <c r="F27" s="9">
        <v>310</v>
      </c>
      <c r="G27" s="9">
        <v>2</v>
      </c>
      <c r="H27" s="9"/>
      <c r="I27" s="9">
        <v>3</v>
      </c>
      <c r="J27" s="9">
        <v>0.5</v>
      </c>
      <c r="K27" s="8">
        <f t="shared" si="7"/>
        <v>2.2000000000000002</v>
      </c>
      <c r="L27" s="8">
        <f t="shared" si="8"/>
        <v>2.4200000000000004</v>
      </c>
      <c r="M27" s="10">
        <f>IF(I27=$Y$11,SQRT(L27*10000),SQRT(Parcellaire!L27*10000)/$AC$12)</f>
        <v>110</v>
      </c>
      <c r="N27" s="10">
        <f t="shared" si="9"/>
        <v>6</v>
      </c>
      <c r="O27" s="24">
        <v>6</v>
      </c>
      <c r="P27" s="26"/>
      <c r="Q27" s="155">
        <v>3</v>
      </c>
      <c r="R27" s="10">
        <f t="shared" si="2"/>
        <v>0</v>
      </c>
      <c r="S27" s="10">
        <f t="shared" si="3"/>
        <v>0</v>
      </c>
      <c r="T27" s="10">
        <f t="shared" si="4"/>
        <v>495</v>
      </c>
      <c r="U27" s="10">
        <f t="shared" si="5"/>
        <v>330</v>
      </c>
      <c r="V27" s="27">
        <f t="shared" si="6"/>
        <v>660</v>
      </c>
      <c r="W27" s="3"/>
      <c r="X27" s="3"/>
      <c r="Z27" t="s">
        <v>17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450</v>
      </c>
      <c r="E28" s="9" t="s">
        <v>1443</v>
      </c>
      <c r="F28" s="9">
        <v>310</v>
      </c>
      <c r="G28" s="9">
        <v>1.5</v>
      </c>
      <c r="H28" s="9"/>
      <c r="I28" s="9">
        <v>3</v>
      </c>
      <c r="J28" s="9">
        <v>0.5</v>
      </c>
      <c r="K28" s="8">
        <f t="shared" si="7"/>
        <v>1.6500000000000001</v>
      </c>
      <c r="L28" s="8">
        <f t="shared" si="8"/>
        <v>1.8150000000000004</v>
      </c>
      <c r="M28" s="10">
        <f>IF(I28=$Y$11,SQRT(L28*10000),SQRT(Parcellaire!L28*10000)/$AC$12)</f>
        <v>95.262794416288244</v>
      </c>
      <c r="N28" s="10">
        <f t="shared" si="9"/>
        <v>6</v>
      </c>
      <c r="O28" s="24">
        <v>6</v>
      </c>
      <c r="P28" s="26"/>
      <c r="Q28" s="155">
        <v>3</v>
      </c>
      <c r="R28" s="10">
        <f t="shared" si="2"/>
        <v>0</v>
      </c>
      <c r="S28" s="10">
        <f t="shared" si="3"/>
        <v>0</v>
      </c>
      <c r="T28" s="10">
        <f t="shared" si="4"/>
        <v>428.68257487329714</v>
      </c>
      <c r="U28" s="10">
        <f t="shared" si="5"/>
        <v>285.78838324886476</v>
      </c>
      <c r="V28" s="27">
        <f t="shared" si="6"/>
        <v>571.57676649772952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7"/>
        <v/>
      </c>
      <c r="L29" s="8" t="e">
        <f t="shared" si="8"/>
        <v>#VALUE!</v>
      </c>
      <c r="M29" s="10" t="e">
        <f>IF(I29=$Y$11,SQRT(L29*10000),SQRT(Parcellaire!L29*10000)/$AC$12)</f>
        <v>#VALUE!</v>
      </c>
      <c r="N29" s="10">
        <f t="shared" si="9"/>
        <v>6</v>
      </c>
      <c r="O29" s="24">
        <v>6</v>
      </c>
      <c r="P29" s="26"/>
      <c r="Q29" s="155">
        <v>3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7"/>
        <v/>
      </c>
      <c r="L30" s="8" t="e">
        <f t="shared" si="8"/>
        <v>#VALUE!</v>
      </c>
      <c r="M30" s="10" t="e">
        <f>IF(I30=$Y$11,SQRT(L30*10000),SQRT(Parcellaire!L30*10000)/$AC$12)</f>
        <v>#VALUE!</v>
      </c>
      <c r="N30" s="10">
        <f t="shared" si="9"/>
        <v>6</v>
      </c>
      <c r="O30" s="24">
        <v>6</v>
      </c>
      <c r="P30" s="26"/>
      <c r="Q30" s="155">
        <v>3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7"/>
        <v/>
      </c>
      <c r="L31" s="8" t="e">
        <f t="shared" si="8"/>
        <v>#VALUE!</v>
      </c>
      <c r="M31" s="10" t="e">
        <f>IF(I31=$Y$11,SQRT(L31*10000),SQRT(Parcellaire!L31*10000)/$AC$12)</f>
        <v>#VALUE!</v>
      </c>
      <c r="N31" s="10">
        <f t="shared" si="9"/>
        <v>6</v>
      </c>
      <c r="O31" s="24">
        <v>6</v>
      </c>
      <c r="P31" s="26"/>
      <c r="Q31" s="155">
        <v>3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7"/>
        <v/>
      </c>
      <c r="L32" s="8" t="e">
        <f t="shared" si="8"/>
        <v>#VALUE!</v>
      </c>
      <c r="M32" s="10" t="e">
        <f>IF(I32=$Y$11,SQRT(L32*10000),SQRT(Parcellaire!L32*10000)/$AC$12)</f>
        <v>#VALUE!</v>
      </c>
      <c r="N32" s="10">
        <f t="shared" si="9"/>
        <v>6</v>
      </c>
      <c r="O32" s="24"/>
      <c r="P32" s="26"/>
      <c r="Q32" s="155">
        <f t="shared" ref="Q32:Q65" si="15">O32-P32</f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ref="K33:K36" si="16">IF(I33=$Y$11,G33*$AB$11,IF(I33=$Y$12,G33*$AB$12,IF(I33=$Y$13,G33*$AB$13,"")))</f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33</v>
      </c>
      <c r="H66" s="170"/>
      <c r="I66" s="170">
        <f>SUMIF(Parcellaire!$B$2:$B$65,1,Parcellaire!I2:I65)</f>
        <v>61</v>
      </c>
      <c r="J66" s="170">
        <f>SUMIF(Parcellaire!$B$2:$B$65,1,Parcellaire!J2:J65)</f>
        <v>9</v>
      </c>
      <c r="K66" s="170">
        <f>SUMIF(Parcellaire!$B$2:$B$65,1,Parcellaire!K2:K65)</f>
        <v>35.17</v>
      </c>
      <c r="L66" s="170">
        <f>SUMIF(Parcellaire!$B$2:$B$65,1,Parcellaire!L2:L65)</f>
        <v>37.378</v>
      </c>
      <c r="M66" s="170">
        <f>SUMIF(Parcellaire!$B$2:$B$65,1,Parcellaire!M2:M65)</f>
        <v>1904.2609353426192</v>
      </c>
      <c r="N66" s="170">
        <f>SUMIF(Parcellaire!$B$2:$B$65,1,Parcellaire!N2:N65)</f>
        <v>138</v>
      </c>
      <c r="O66" s="170">
        <f>SUMIF(Parcellaire!$B$2:$B$65,1,Parcellaire!O2:O65)</f>
        <v>120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8220.6057078831218</v>
      </c>
      <c r="U66" s="170">
        <f>SUMIF(Parcellaire!$B$2:$B$65,1,Parcellaire!U2:U65)</f>
        <v>5480.4038052554142</v>
      </c>
      <c r="V66" s="170">
        <f>SUMIF(Parcellaire!$B$2:$B$65,1,Parcellaire!V2:V65)</f>
        <v>10960.807610510828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abSelected="1" topLeftCell="I33" zoomScale="80" zoomScaleNormal="80" workbookViewId="0">
      <selection activeCell="K60" sqref="K6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1466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3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527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4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3</v>
      </c>
      <c r="U25" s="173">
        <f>Alim_Surf!E35</f>
        <v>1</v>
      </c>
      <c r="V25" s="173" t="str">
        <f>IF(T25=0,0,VLOOKUP(T25,[1]Cult!$A$7:$H$76,8))</f>
        <v>MG</v>
      </c>
      <c r="W25" s="173">
        <f t="shared" ref="W25:W33" si="0">IF(V25="ME",U25,0)</f>
        <v>0</v>
      </c>
      <c r="X25" s="173">
        <f t="shared" ref="X25:X33" si="1">IF(V25="MG",U25,0)</f>
        <v>1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28</v>
      </c>
      <c r="U26" s="173">
        <f>Alim_Surf!E36</f>
        <v>3</v>
      </c>
      <c r="V26" s="173" t="str">
        <f>IF(T26=0,0,VLOOKUP(T26,[1]Cult!$A$7:$H$76,8))</f>
        <v>FL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3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30</v>
      </c>
      <c r="L28" t="s">
        <v>52</v>
      </c>
      <c r="M28" s="30">
        <f>U228</f>
        <v>22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14</v>
      </c>
      <c r="L29" t="s">
        <v>52</v>
      </c>
      <c r="M29" s="30">
        <f>V228</f>
        <v>15.6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3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2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1</v>
      </c>
      <c r="X34" s="62">
        <f t="shared" si="7"/>
        <v>1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1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9</v>
      </c>
    </row>
    <row r="41" spans="10:29" x14ac:dyDescent="0.25">
      <c r="J41" s="14" t="s">
        <v>564</v>
      </c>
      <c r="K41" s="173">
        <f>AD228</f>
        <v>24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0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1388</v>
      </c>
      <c r="K48" s="173">
        <f>+K33+K40+K41</f>
        <v>35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42</v>
      </c>
    </row>
    <row r="56" spans="10:16" x14ac:dyDescent="0.25">
      <c r="J56" s="14" t="s">
        <v>571</v>
      </c>
      <c r="K56" s="174">
        <v>3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1439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13">
        <v>1</v>
      </c>
      <c r="V76" s="13" t="s">
        <v>598</v>
      </c>
    </row>
    <row r="77" spans="10:22" x14ac:dyDescent="0.25">
      <c r="J77" s="14" t="s">
        <v>599</v>
      </c>
      <c r="K77" s="80"/>
      <c r="R77">
        <v>2</v>
      </c>
      <c r="U77" s="13">
        <v>2</v>
      </c>
      <c r="V77" s="13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174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2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1382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1383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1384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310</v>
      </c>
      <c r="S164" s="173">
        <f>Alim_Surf!R7</f>
        <v>5.4</v>
      </c>
      <c r="T164" s="173">
        <f>VLOOKUP($R164,[1]MEP!$A$4:$M$300,13)</f>
        <v>1</v>
      </c>
      <c r="U164" s="173">
        <f>IF($T164&gt;0,$S164,0)</f>
        <v>5.4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5.4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5.4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10">IF($T165&gt;0,$S165,0)</f>
        <v>3</v>
      </c>
      <c r="V165" s="173">
        <f t="shared" ref="V165:V207" si="11">IF($T165&gt;1,$S165,0)</f>
        <v>3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3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3</v>
      </c>
      <c r="AL165" s="5"/>
      <c r="AN165" s="32" t="s">
        <v>659</v>
      </c>
      <c r="AO165" s="173">
        <f>SUM(AD164:AD183)</f>
        <v>18.5</v>
      </c>
    </row>
    <row r="166" spans="17:41" x14ac:dyDescent="0.25">
      <c r="Q166">
        <v>3</v>
      </c>
      <c r="R166" s="173">
        <f>Alim_Surf!Q9</f>
        <v>228</v>
      </c>
      <c r="S166" s="173">
        <f>Alim_Surf!R9</f>
        <v>8.5</v>
      </c>
      <c r="T166" s="173">
        <f>VLOOKUP(R166,[1]MEP!$A$4:$M$300,13)</f>
        <v>0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8.5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8.5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4</v>
      </c>
    </row>
    <row r="167" spans="17:41" x14ac:dyDescent="0.25">
      <c r="Q167">
        <v>4</v>
      </c>
      <c r="R167" s="173">
        <f>Alim_Surf!Q10</f>
        <v>80</v>
      </c>
      <c r="S167" s="173">
        <f>Alim_Surf!R10</f>
        <v>1</v>
      </c>
      <c r="T167" s="173">
        <f>VLOOKUP(R167,[1]MEP!$A$4:$M$300,13)</f>
        <v>1</v>
      </c>
      <c r="U167" s="173">
        <f t="shared" si="10"/>
        <v>1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1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1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5.5</v>
      </c>
    </row>
    <row r="169" spans="17:41" x14ac:dyDescent="0.25"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10"/>
        <v>4</v>
      </c>
      <c r="V169" s="173">
        <f t="shared" si="11"/>
        <v>4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8"/>
        <v>0</v>
      </c>
      <c r="AB169" s="173">
        <f t="shared" si="9"/>
        <v>0</v>
      </c>
      <c r="AC169" s="173">
        <f t="shared" si="13"/>
        <v>4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4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317</v>
      </c>
      <c r="S170" s="173">
        <f>Alim_Surf!R13</f>
        <v>0</v>
      </c>
      <c r="T170" s="173">
        <f>VLOOKUP(R170,[1]MEP!$A$4:$M$300,13)</f>
        <v>1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226</v>
      </c>
      <c r="S171" s="173">
        <f>Alim_Surf!R14</f>
        <v>0.6</v>
      </c>
      <c r="T171" s="173">
        <f>VLOOKUP(R171,[1]MEP!$A$4:$M$300,13)</f>
        <v>2</v>
      </c>
      <c r="U171" s="173">
        <f t="shared" si="10"/>
        <v>0.6</v>
      </c>
      <c r="V171" s="173">
        <f t="shared" si="11"/>
        <v>0.6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0.6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0.6</v>
      </c>
      <c r="AL171" s="5"/>
      <c r="AN171" s="32" t="s">
        <v>665</v>
      </c>
      <c r="AO171" s="173">
        <f>Alim_Surf!O51</f>
        <v>5.6</v>
      </c>
    </row>
    <row r="172" spans="17:41" x14ac:dyDescent="0.25">
      <c r="Q172">
        <v>9</v>
      </c>
      <c r="R172" s="173">
        <f>Alim_Surf!Q15</f>
        <v>225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225</v>
      </c>
      <c r="S186" s="173">
        <f>Alim_Surf!R29</f>
        <v>2.5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2.5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2.5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10"/>
        <v>5</v>
      </c>
      <c r="V187" s="173">
        <f t="shared" si="11"/>
        <v>5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8"/>
        <v>0</v>
      </c>
      <c r="AB187" s="173">
        <f t="shared" si="9"/>
        <v>0</v>
      </c>
      <c r="AC187" s="173">
        <f t="shared" si="13"/>
        <v>5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5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129</v>
      </c>
      <c r="S188" s="173">
        <f>Alim_Surf!R31</f>
        <v>0</v>
      </c>
      <c r="T188" s="173">
        <f>VLOOKUP(R188,[1]MEP!$A$4:$M$300,13)</f>
        <v>1</v>
      </c>
      <c r="U188" s="173">
        <f t="shared" si="10"/>
        <v>0</v>
      </c>
      <c r="V188" s="173">
        <f t="shared" si="11"/>
        <v>0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216</v>
      </c>
      <c r="S189" s="173">
        <f>Alim_Surf!R32</f>
        <v>1.5</v>
      </c>
      <c r="T189" s="173">
        <f>VLOOKUP(R189,[1]MEP!$A$4:$M$300,13)</f>
        <v>2</v>
      </c>
      <c r="U189" s="173">
        <f t="shared" si="10"/>
        <v>1.5</v>
      </c>
      <c r="V189" s="173">
        <f t="shared" si="11"/>
        <v>1.5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1.5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1.5</v>
      </c>
      <c r="AL189" s="5"/>
    </row>
    <row r="190" spans="17:38" x14ac:dyDescent="0.25"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226</v>
      </c>
      <c r="S191" s="173">
        <f>Alim_Surf!R34</f>
        <v>1.5</v>
      </c>
      <c r="T191" s="173">
        <f>VLOOKUP(R191,[1]MEP!$A$4:$M$300,13)</f>
        <v>2</v>
      </c>
      <c r="U191" s="173">
        <f t="shared" si="10"/>
        <v>1.5</v>
      </c>
      <c r="V191" s="173">
        <f t="shared" si="11"/>
        <v>1.5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1.5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1.5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33</v>
      </c>
      <c r="U228" s="62">
        <f>SUM(U164:U227)</f>
        <v>22</v>
      </c>
      <c r="V228" s="62">
        <f t="shared" ref="V228:W228" si="22">SUM(V164:V227)</f>
        <v>15.6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11</v>
      </c>
      <c r="AI228" s="62">
        <f t="shared" si="24"/>
        <v>6.4</v>
      </c>
      <c r="AJ228" s="62">
        <f t="shared" si="24"/>
        <v>6.6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zoomScale="90" zoomScaleNormal="90" workbookViewId="0">
      <selection activeCell="C6" sqref="C6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0</v>
      </c>
      <c r="F3" s="177">
        <f t="shared" si="0"/>
        <v>1</v>
      </c>
      <c r="G3" s="177">
        <f t="shared" si="0"/>
        <v>1</v>
      </c>
      <c r="H3" s="177">
        <f t="shared" si="0"/>
        <v>1</v>
      </c>
      <c r="I3" s="177">
        <f t="shared" si="0"/>
        <v>1</v>
      </c>
      <c r="J3" s="177">
        <f t="shared" si="0"/>
        <v>1</v>
      </c>
      <c r="K3" s="177">
        <f t="shared" si="0"/>
        <v>1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1</v>
      </c>
      <c r="D4" s="177">
        <f t="shared" ref="D4:Z4" si="1">COUNTIF(D81:D90,2)</f>
        <v>1</v>
      </c>
      <c r="E4" s="177">
        <f t="shared" si="1"/>
        <v>1</v>
      </c>
      <c r="F4" s="177">
        <f t="shared" si="1"/>
        <v>1</v>
      </c>
      <c r="G4" s="177">
        <f t="shared" si="1"/>
        <v>1</v>
      </c>
      <c r="H4" s="177">
        <f t="shared" si="1"/>
        <v>1</v>
      </c>
      <c r="I4" s="177">
        <f t="shared" si="1"/>
        <v>1</v>
      </c>
      <c r="J4" s="177">
        <f t="shared" si="1"/>
        <v>1</v>
      </c>
      <c r="K4" s="177">
        <f t="shared" si="1"/>
        <v>1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1</v>
      </c>
      <c r="W4" s="177">
        <f t="shared" si="1"/>
        <v>1</v>
      </c>
      <c r="X4" s="177">
        <f t="shared" si="1"/>
        <v>1</v>
      </c>
      <c r="Y4" s="177">
        <f t="shared" si="1"/>
        <v>1</v>
      </c>
      <c r="Z4" s="177">
        <f t="shared" si="1"/>
        <v>1</v>
      </c>
      <c r="AB4" s="32"/>
      <c r="AC4" s="5"/>
      <c r="AD4" s="276"/>
      <c r="AE4" s="276"/>
      <c r="AF4" s="276"/>
      <c r="AO4" s="14" t="s">
        <v>683</v>
      </c>
      <c r="AP4" s="30">
        <f>SUM(BG31:BI31)</f>
        <v>8221</v>
      </c>
      <c r="AQ4">
        <f>SUM(BJ31:BL31)</f>
        <v>33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129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1426</v>
      </c>
      <c r="AJ5" s="30">
        <f>MAX(C203:Z203)</f>
        <v>6</v>
      </c>
      <c r="AO5" s="14" t="s">
        <v>685</v>
      </c>
      <c r="AP5" s="30">
        <f>BI31</f>
        <v>2927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198</v>
      </c>
      <c r="AZ5" s="30">
        <f>Parcellaire!G3</f>
        <v>0.5</v>
      </c>
      <c r="BA5" s="30">
        <f>ROUND(Parcellaire!S3,0)</f>
        <v>0</v>
      </c>
      <c r="BB5" s="30">
        <f>ROUND(Parcellaire!T3,0)</f>
        <v>225</v>
      </c>
      <c r="BC5" s="30">
        <f>ROUND(Parcellaire!U3,0)</f>
        <v>150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225</v>
      </c>
      <c r="BJ5" s="173">
        <f t="shared" si="6"/>
        <v>0</v>
      </c>
      <c r="BK5" s="173">
        <f t="shared" si="7"/>
        <v>0</v>
      </c>
      <c r="BL5" s="173">
        <f t="shared" si="8"/>
        <v>0.5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5294</v>
      </c>
      <c r="AQ6">
        <f>BK31</f>
        <v>22.5</v>
      </c>
      <c r="AV6" s="30">
        <f>Parcellaire!A4</f>
        <v>3</v>
      </c>
      <c r="AW6" s="30">
        <f>Parcellaire!B4</f>
        <v>1</v>
      </c>
      <c r="AX6" s="30" t="str">
        <f>Parcellaire!D4</f>
        <v>éloigné</v>
      </c>
      <c r="AY6" s="30">
        <f>Parcellaire!F4</f>
        <v>30</v>
      </c>
      <c r="AZ6" s="30">
        <f>Parcellaire!G4</f>
        <v>2</v>
      </c>
      <c r="BA6" s="30">
        <f>ROUND(Parcellaire!S4,0)</f>
        <v>0</v>
      </c>
      <c r="BB6" s="30">
        <f>ROUND(Parcellaire!T4,0)</f>
        <v>450</v>
      </c>
      <c r="BC6" s="30">
        <f>ROUND(Parcellaire!U4,0)</f>
        <v>300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10"/>
        <v>PE</v>
      </c>
      <c r="BG6" s="173">
        <f t="shared" si="11"/>
        <v>0</v>
      </c>
      <c r="BH6" s="173">
        <f t="shared" si="4"/>
        <v>0</v>
      </c>
      <c r="BI6" s="173">
        <f t="shared" si="5"/>
        <v>450</v>
      </c>
      <c r="BJ6" s="173">
        <f t="shared" si="6"/>
        <v>0</v>
      </c>
      <c r="BK6" s="173">
        <f t="shared" si="7"/>
        <v>0</v>
      </c>
      <c r="BL6" s="173">
        <f t="shared" si="8"/>
        <v>2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1</v>
      </c>
      <c r="AX7" s="30" t="str">
        <f>Parcellaire!D5</f>
        <v>éloigné</v>
      </c>
      <c r="AY7" s="30">
        <f>Parcellaire!F5</f>
        <v>30</v>
      </c>
      <c r="AZ7" s="30">
        <f>Parcellaire!G5</f>
        <v>2</v>
      </c>
      <c r="BA7" s="30">
        <f>ROUND(Parcellaire!S5,0)</f>
        <v>0</v>
      </c>
      <c r="BB7" s="30">
        <f>ROUND(Parcellaire!T5,0)</f>
        <v>472</v>
      </c>
      <c r="BC7" s="30">
        <f>ROUND(Parcellaire!U5,0)</f>
        <v>315</v>
      </c>
      <c r="BD7" s="30" t="str">
        <f>IF(AW7=2,"",VLOOKUP(AY7,[1]MEP!$X$5:$AA$250,4))</f>
        <v>PT</v>
      </c>
      <c r="BE7" s="30" t="str">
        <f>IF(AW7=2,"",VLOOKUP(BD7,[1]MEP!$AC$5:$AD$10,2))</f>
        <v>P</v>
      </c>
      <c r="BF7" s="30" t="str">
        <f t="shared" si="10"/>
        <v>PE</v>
      </c>
      <c r="BG7" s="173">
        <f t="shared" si="11"/>
        <v>0</v>
      </c>
      <c r="BH7" s="173">
        <f t="shared" si="4"/>
        <v>0</v>
      </c>
      <c r="BI7" s="173">
        <f t="shared" si="5"/>
        <v>472</v>
      </c>
      <c r="BJ7" s="173">
        <f t="shared" si="6"/>
        <v>0</v>
      </c>
      <c r="BK7" s="173">
        <f t="shared" si="7"/>
        <v>0</v>
      </c>
      <c r="BL7" s="173">
        <f t="shared" si="8"/>
        <v>2</v>
      </c>
    </row>
    <row r="8" spans="1:64" x14ac:dyDescent="0.25">
      <c r="A8" s="14" t="s">
        <v>690</v>
      </c>
      <c r="B8" t="s">
        <v>568</v>
      </c>
      <c r="C8" s="177">
        <f>(C3+C4)*[1]Protect!$B$12</f>
        <v>2</v>
      </c>
      <c r="D8" s="177">
        <f>(D3+D4)*[1]Protect!$B$12</f>
        <v>2</v>
      </c>
      <c r="E8" s="177">
        <f>(E3+E4)*[1]Protect!$B$12</f>
        <v>2</v>
      </c>
      <c r="F8" s="177">
        <f>(F3+F4)*[1]Protect!$B$12</f>
        <v>4</v>
      </c>
      <c r="G8" s="177">
        <f>(G3+G4)*[1]Protect!$B$12</f>
        <v>4</v>
      </c>
      <c r="H8" s="177">
        <f>(H3+H4)*[1]Protect!$B$12</f>
        <v>4</v>
      </c>
      <c r="I8" s="177">
        <f>(I3+I4)*[1]Protect!$B$12</f>
        <v>4</v>
      </c>
      <c r="J8" s="177">
        <f>(J3+J4)*[1]Protect!$B$12</f>
        <v>4</v>
      </c>
      <c r="K8" s="177">
        <f>(K3+K4)*[1]Protect!$B$12</f>
        <v>4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6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216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472</v>
      </c>
      <c r="BJ8" s="173">
        <f t="shared" si="6"/>
        <v>0</v>
      </c>
      <c r="BK8" s="173">
        <f t="shared" si="7"/>
        <v>0</v>
      </c>
      <c r="BL8" s="173">
        <f t="shared" si="8"/>
        <v>2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225</v>
      </c>
      <c r="AZ9" s="30">
        <f>Parcellaire!G7</f>
        <v>2</v>
      </c>
      <c r="BA9" s="30">
        <f>ROUND(Parcellaire!S7,0)</f>
        <v>0</v>
      </c>
      <c r="BB9" s="30">
        <f>ROUND(Parcellaire!T7,0)</f>
        <v>495</v>
      </c>
      <c r="BC9" s="30">
        <f>ROUND(Parcellaire!U7,0)</f>
        <v>330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495</v>
      </c>
      <c r="BJ9" s="173">
        <f t="shared" si="6"/>
        <v>0</v>
      </c>
      <c r="BK9" s="173">
        <f t="shared" si="7"/>
        <v>0</v>
      </c>
      <c r="BL9" s="173">
        <f t="shared" si="8"/>
        <v>2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éloigné</v>
      </c>
      <c r="AY10" s="30">
        <f>Parcellaire!F8</f>
        <v>198</v>
      </c>
      <c r="AZ10" s="30">
        <f>Parcellaire!G8</f>
        <v>0.5</v>
      </c>
      <c r="BA10" s="30">
        <f>ROUND(Parcellaire!S8,0)</f>
        <v>0</v>
      </c>
      <c r="BB10" s="30">
        <f>ROUND(Parcellaire!T8,0)</f>
        <v>236</v>
      </c>
      <c r="BC10" s="30">
        <f>ROUND(Parcellaire!U8,0)</f>
        <v>157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10"/>
        <v>PE</v>
      </c>
      <c r="BG10" s="173">
        <f t="shared" si="11"/>
        <v>0</v>
      </c>
      <c r="BH10" s="173">
        <f t="shared" si="4"/>
        <v>0</v>
      </c>
      <c r="BI10" s="173">
        <f t="shared" si="5"/>
        <v>236</v>
      </c>
      <c r="BJ10" s="173">
        <f t="shared" si="6"/>
        <v>0</v>
      </c>
      <c r="BK10" s="173">
        <f t="shared" si="7"/>
        <v>0</v>
      </c>
      <c r="BL10" s="173">
        <f t="shared" si="8"/>
        <v>0.5</v>
      </c>
    </row>
    <row r="11" spans="1:64" x14ac:dyDescent="0.25">
      <c r="A11" s="14" t="s">
        <v>694</v>
      </c>
      <c r="B11" t="s">
        <v>568</v>
      </c>
      <c r="C11" s="177">
        <f>SUM(C8:C10)</f>
        <v>2</v>
      </c>
      <c r="D11" s="177">
        <f t="shared" ref="D11:Z11" si="14">SUM(D8:D10)</f>
        <v>2</v>
      </c>
      <c r="E11" s="177">
        <f t="shared" si="14"/>
        <v>2</v>
      </c>
      <c r="F11" s="177">
        <f t="shared" si="14"/>
        <v>4</v>
      </c>
      <c r="G11" s="177">
        <f t="shared" si="14"/>
        <v>4</v>
      </c>
      <c r="H11" s="177">
        <f t="shared" si="14"/>
        <v>4</v>
      </c>
      <c r="I11" s="177">
        <f t="shared" si="14"/>
        <v>4</v>
      </c>
      <c r="J11" s="177">
        <f t="shared" si="14"/>
        <v>4</v>
      </c>
      <c r="K11" s="177">
        <f t="shared" si="14"/>
        <v>4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4</v>
      </c>
      <c r="W11" s="177">
        <f t="shared" si="14"/>
        <v>2</v>
      </c>
      <c r="X11" s="177">
        <f t="shared" si="14"/>
        <v>2</v>
      </c>
      <c r="Y11" s="177">
        <f t="shared" si="14"/>
        <v>2</v>
      </c>
      <c r="Z11" s="177">
        <f t="shared" si="14"/>
        <v>2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éloigné</v>
      </c>
      <c r="AY11" s="30">
        <f>Parcellaire!F9</f>
        <v>129</v>
      </c>
      <c r="AZ11" s="30">
        <f>Parcellaire!G9</f>
        <v>0.7</v>
      </c>
      <c r="BA11" s="30">
        <f>ROUND(Parcellaire!S9,0)</f>
        <v>0</v>
      </c>
      <c r="BB11" s="30">
        <f>ROUND(Parcellaire!T9,0)</f>
        <v>279</v>
      </c>
      <c r="BC11" s="30">
        <f>ROUND(Parcellaire!U9,0)</f>
        <v>186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PE</v>
      </c>
      <c r="BG11" s="173">
        <f t="shared" si="11"/>
        <v>0</v>
      </c>
      <c r="BH11" s="173">
        <f t="shared" si="4"/>
        <v>0</v>
      </c>
      <c r="BI11" s="173">
        <f t="shared" si="5"/>
        <v>279</v>
      </c>
      <c r="BJ11" s="173">
        <f t="shared" si="6"/>
        <v>0</v>
      </c>
      <c r="BK11" s="173">
        <f t="shared" si="7"/>
        <v>0</v>
      </c>
      <c r="BL11" s="173">
        <f t="shared" si="8"/>
        <v>0.7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301</v>
      </c>
      <c r="AZ12" s="30">
        <f>Parcellaire!G10</f>
        <v>1.3</v>
      </c>
      <c r="BA12" s="30">
        <f>ROUND(Parcellaire!S10,0)</f>
        <v>0</v>
      </c>
      <c r="BB12" s="30">
        <f>ROUND(Parcellaire!T10,0)</f>
        <v>417</v>
      </c>
      <c r="BC12" s="30">
        <f>ROUND(Parcellaire!U10,0)</f>
        <v>278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417</v>
      </c>
      <c r="BI12" s="173">
        <f t="shared" si="5"/>
        <v>0</v>
      </c>
      <c r="BJ12" s="173">
        <f t="shared" si="6"/>
        <v>0</v>
      </c>
      <c r="BK12" s="173">
        <f t="shared" si="7"/>
        <v>1.3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2</v>
      </c>
      <c r="D13" s="177">
        <f t="shared" ref="D13:Z13" si="15">D11+D12</f>
        <v>2</v>
      </c>
      <c r="E13" s="177">
        <f t="shared" si="15"/>
        <v>2</v>
      </c>
      <c r="F13" s="177">
        <f t="shared" si="15"/>
        <v>4</v>
      </c>
      <c r="G13" s="177">
        <f t="shared" si="15"/>
        <v>4</v>
      </c>
      <c r="H13" s="177">
        <f t="shared" si="15"/>
        <v>4</v>
      </c>
      <c r="I13" s="177">
        <f t="shared" si="15"/>
        <v>4</v>
      </c>
      <c r="J13" s="177">
        <f t="shared" si="15"/>
        <v>4</v>
      </c>
      <c r="K13" s="177">
        <f t="shared" si="15"/>
        <v>4</v>
      </c>
      <c r="L13" s="177">
        <f t="shared" si="15"/>
        <v>4</v>
      </c>
      <c r="M13" s="177">
        <f t="shared" si="15"/>
        <v>4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4</v>
      </c>
      <c r="V13" s="177">
        <f t="shared" si="15"/>
        <v>4</v>
      </c>
      <c r="W13" s="177">
        <f t="shared" si="15"/>
        <v>2</v>
      </c>
      <c r="X13" s="177">
        <f t="shared" si="15"/>
        <v>2</v>
      </c>
      <c r="Y13" s="177">
        <f t="shared" si="15"/>
        <v>2</v>
      </c>
      <c r="Z13" s="177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302</v>
      </c>
      <c r="AZ13" s="30">
        <f>Parcellaire!G11</f>
        <v>4</v>
      </c>
      <c r="BA13" s="30">
        <f>ROUND(Parcellaire!S11,0)</f>
        <v>0</v>
      </c>
      <c r="BB13" s="30">
        <f>ROUND(Parcellaire!T11,0)</f>
        <v>700</v>
      </c>
      <c r="BC13" s="30">
        <f>ROUND(Parcellaire!U11,0)</f>
        <v>467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700</v>
      </c>
      <c r="BI13" s="173">
        <f t="shared" si="5"/>
        <v>0</v>
      </c>
      <c r="BJ13" s="173">
        <f t="shared" si="6"/>
        <v>0</v>
      </c>
      <c r="BK13" s="173">
        <f t="shared" si="7"/>
        <v>4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80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198</v>
      </c>
      <c r="AZ15" s="30">
        <f>Parcellaire!G13</f>
        <v>4</v>
      </c>
      <c r="BA15" s="30">
        <f>ROUND(Parcellaire!S13,0)</f>
        <v>0</v>
      </c>
      <c r="BB15" s="30">
        <f>ROUND(Parcellaire!T13,0)</f>
        <v>636</v>
      </c>
      <c r="BC15" s="30">
        <f>ROUND(Parcellaire!U13,0)</f>
        <v>424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636</v>
      </c>
      <c r="BI15" s="173">
        <f t="shared" si="5"/>
        <v>0</v>
      </c>
      <c r="BJ15" s="173">
        <f t="shared" si="6"/>
        <v>0</v>
      </c>
      <c r="BK15" s="173">
        <f t="shared" si="7"/>
        <v>4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3</v>
      </c>
      <c r="D16" s="173">
        <f t="shared" si="17"/>
        <v>3</v>
      </c>
      <c r="E16" s="173">
        <f t="shared" si="17"/>
        <v>3</v>
      </c>
      <c r="F16" s="173">
        <f t="shared" si="17"/>
        <v>2</v>
      </c>
      <c r="G16" s="173">
        <f t="shared" si="17"/>
        <v>2</v>
      </c>
      <c r="H16" s="173">
        <f t="shared" si="17"/>
        <v>2</v>
      </c>
      <c r="I16" s="173">
        <f t="shared" si="17"/>
        <v>2</v>
      </c>
      <c r="J16" s="173">
        <f t="shared" si="17"/>
        <v>2</v>
      </c>
      <c r="K16" s="173">
        <f t="shared" si="17"/>
        <v>2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1</v>
      </c>
      <c r="W16" s="173">
        <f t="shared" si="17"/>
        <v>2</v>
      </c>
      <c r="X16" s="173">
        <f t="shared" si="17"/>
        <v>3</v>
      </c>
      <c r="Y16" s="173">
        <f t="shared" si="17"/>
        <v>3</v>
      </c>
      <c r="Z16" s="173">
        <f t="shared" si="17"/>
        <v>3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228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1</v>
      </c>
      <c r="D17" s="173">
        <f t="shared" si="18"/>
        <v>1</v>
      </c>
      <c r="E17" s="173">
        <f t="shared" si="18"/>
        <v>1</v>
      </c>
      <c r="F17" s="173">
        <f t="shared" si="18"/>
        <v>2</v>
      </c>
      <c r="G17" s="173">
        <f t="shared" si="18"/>
        <v>2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2</v>
      </c>
      <c r="W17" s="173">
        <f t="shared" si="18"/>
        <v>1</v>
      </c>
      <c r="X17" s="173">
        <f t="shared" si="18"/>
        <v>1</v>
      </c>
      <c r="Y17" s="173">
        <f t="shared" si="18"/>
        <v>1</v>
      </c>
      <c r="Z17" s="173">
        <f t="shared" si="18"/>
        <v>1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302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80</v>
      </c>
      <c r="AZ18" s="30">
        <f>Parcellaire!G16</f>
        <v>1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0</v>
      </c>
      <c r="BI18" s="173">
        <f t="shared" si="5"/>
        <v>0</v>
      </c>
      <c r="BJ18" s="173">
        <f t="shared" si="6"/>
        <v>0</v>
      </c>
      <c r="BK18" s="173">
        <f t="shared" si="7"/>
        <v>1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302</v>
      </c>
      <c r="AZ19" s="30">
        <f>Parcellaire!G17</f>
        <v>2</v>
      </c>
      <c r="BA19" s="30">
        <f>ROUND(Parcellaire!S17,0)</f>
        <v>0</v>
      </c>
      <c r="BB19" s="30">
        <f>ROUND(Parcellaire!T17,0)</f>
        <v>472</v>
      </c>
      <c r="BC19" s="30">
        <f>ROUND(Parcellaire!U17,0)</f>
        <v>315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472</v>
      </c>
      <c r="BI19" s="173">
        <f t="shared" si="5"/>
        <v>0</v>
      </c>
      <c r="BJ19" s="173">
        <f t="shared" si="6"/>
        <v>0</v>
      </c>
      <c r="BK19" s="173">
        <f t="shared" si="7"/>
        <v>2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8221</v>
      </c>
      <c r="AE20" s="64">
        <v>0</v>
      </c>
      <c r="AF20" s="64">
        <f>SUM(AD20:AE20)</f>
        <v>8221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2</v>
      </c>
      <c r="AX20" s="30" t="str">
        <f>Parcellaire!D18</f>
        <v>éloigné</v>
      </c>
      <c r="AY20" s="30">
        <f>Parcellaire!F18</f>
        <v>0</v>
      </c>
      <c r="AZ20" s="30">
        <f>Parcellaire!G18</f>
        <v>1.2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3">
        <f t="shared" si="11"/>
        <v>0</v>
      </c>
      <c r="BH20" s="173">
        <f t="shared" si="4"/>
        <v>0</v>
      </c>
      <c r="BI20" s="173">
        <f t="shared" si="5"/>
        <v>0</v>
      </c>
      <c r="BJ20" s="173">
        <f t="shared" si="6"/>
        <v>0</v>
      </c>
      <c r="BK20" s="173">
        <f t="shared" si="7"/>
        <v>0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8221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0</v>
      </c>
      <c r="AZ21" s="30">
        <f>Parcellaire!G19</f>
        <v>0.8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5294</v>
      </c>
      <c r="AE22" s="64">
        <f>IF(AND(LEFT(Scénario!K12,2)="OL",Troupeau!C3&lt;&gt;"",Scénario!K91=1),Protection!AP5+Protection!AP3,0)</f>
        <v>0</v>
      </c>
      <c r="AF22" s="64">
        <f>SUM(AD22:AE22)</f>
        <v>5294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46</v>
      </c>
      <c r="AZ22" s="30">
        <f>Parcellaire!G20</f>
        <v>2.6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47</v>
      </c>
      <c r="AZ23" s="30">
        <f>Parcellaire!G21</f>
        <v>3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proche</v>
      </c>
      <c r="AY24" s="30">
        <f>Parcellaire!F22</f>
        <v>198</v>
      </c>
      <c r="AZ24" s="30">
        <f>Parcellaire!G22</f>
        <v>1.5</v>
      </c>
      <c r="BA24" s="30">
        <f>ROUND(Parcellaire!S22,0)</f>
        <v>0</v>
      </c>
      <c r="BB24" s="30">
        <f>ROUND(Parcellaire!T22,0)</f>
        <v>409</v>
      </c>
      <c r="BC24" s="30">
        <f>ROUND(Parcellaire!U22,0)</f>
        <v>272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PF</v>
      </c>
      <c r="BG24" s="173">
        <f t="shared" si="11"/>
        <v>0</v>
      </c>
      <c r="BH24" s="173">
        <f t="shared" si="4"/>
        <v>409</v>
      </c>
      <c r="BI24" s="173">
        <f t="shared" si="5"/>
        <v>0</v>
      </c>
      <c r="BJ24" s="173">
        <f t="shared" si="6"/>
        <v>0</v>
      </c>
      <c r="BK24" s="173">
        <f t="shared" si="7"/>
        <v>1.5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2</v>
      </c>
      <c r="F25" s="177">
        <f t="shared" si="23"/>
        <v>2</v>
      </c>
      <c r="G25" s="177">
        <f t="shared" si="23"/>
        <v>2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3</v>
      </c>
      <c r="N25" s="177">
        <f t="shared" si="23"/>
        <v>3</v>
      </c>
      <c r="O25" s="177">
        <f t="shared" si="23"/>
        <v>3</v>
      </c>
      <c r="P25" s="177">
        <f t="shared" si="23"/>
        <v>3</v>
      </c>
      <c r="Q25" s="177">
        <f t="shared" si="23"/>
        <v>3</v>
      </c>
      <c r="R25" s="177">
        <f t="shared" si="23"/>
        <v>3</v>
      </c>
      <c r="S25" s="177">
        <f t="shared" si="23"/>
        <v>3</v>
      </c>
      <c r="T25" s="177">
        <f t="shared" si="23"/>
        <v>3</v>
      </c>
      <c r="U25" s="177">
        <f t="shared" si="23"/>
        <v>3</v>
      </c>
      <c r="V25" s="177">
        <f t="shared" si="23"/>
        <v>3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8221</v>
      </c>
      <c r="AV25" s="30">
        <f>Parcellaire!A23</f>
        <v>22</v>
      </c>
      <c r="AW25" s="30">
        <f>Parcellaire!B23</f>
        <v>1</v>
      </c>
      <c r="AX25" s="30" t="str">
        <f>Parcellaire!D23</f>
        <v>proche</v>
      </c>
      <c r="AY25" s="30">
        <f>Parcellaire!F23</f>
        <v>302</v>
      </c>
      <c r="AZ25" s="30">
        <f>Parcellaire!G23</f>
        <v>1</v>
      </c>
      <c r="BA25" s="30">
        <f>ROUND(Parcellaire!S23,0)</f>
        <v>0</v>
      </c>
      <c r="BB25" s="30">
        <f>ROUND(Parcellaire!T23,0)</f>
        <v>350</v>
      </c>
      <c r="BC25" s="30">
        <f>ROUND(Parcellaire!U23,0)</f>
        <v>233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10"/>
        <v>PF</v>
      </c>
      <c r="BG25" s="173">
        <f t="shared" si="11"/>
        <v>0</v>
      </c>
      <c r="BH25" s="173">
        <f t="shared" si="4"/>
        <v>350</v>
      </c>
      <c r="BI25" s="173">
        <f t="shared" si="5"/>
        <v>0</v>
      </c>
      <c r="BJ25" s="173">
        <f t="shared" si="6"/>
        <v>0</v>
      </c>
      <c r="BK25" s="173">
        <f t="shared" si="7"/>
        <v>1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0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33</v>
      </c>
      <c r="AV26" s="30">
        <f>Parcellaire!A24</f>
        <v>23</v>
      </c>
      <c r="AW26" s="30">
        <f>Parcellaire!B24</f>
        <v>1</v>
      </c>
      <c r="AX26" s="30" t="str">
        <f>Parcellaire!D24</f>
        <v>proche</v>
      </c>
      <c r="AY26" s="30">
        <f>Parcellaire!F24</f>
        <v>302</v>
      </c>
      <c r="AZ26" s="30">
        <f>Parcellaire!G24</f>
        <v>1</v>
      </c>
      <c r="BA26" s="30">
        <f>ROUND(Parcellaire!S24,0)</f>
        <v>0</v>
      </c>
      <c r="BB26" s="30">
        <f>ROUND(Parcellaire!T24,0)</f>
        <v>350</v>
      </c>
      <c r="BC26" s="30">
        <f>ROUND(Parcellaire!U24,0)</f>
        <v>233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10"/>
        <v>PF</v>
      </c>
      <c r="BG26" s="173">
        <f t="shared" si="11"/>
        <v>0</v>
      </c>
      <c r="BH26" s="173">
        <f t="shared" si="4"/>
        <v>350</v>
      </c>
      <c r="BI26" s="173">
        <f t="shared" si="5"/>
        <v>0</v>
      </c>
      <c r="BJ26" s="173">
        <f t="shared" si="6"/>
        <v>0</v>
      </c>
      <c r="BK26" s="173">
        <f t="shared" si="7"/>
        <v>1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24</v>
      </c>
      <c r="AW27" s="30">
        <f>Parcellaire!B25</f>
        <v>1</v>
      </c>
      <c r="AX27" s="30" t="str">
        <f>Parcellaire!D25</f>
        <v>proche</v>
      </c>
      <c r="AY27" s="30">
        <f>Parcellaire!F25</f>
        <v>301</v>
      </c>
      <c r="AZ27" s="30">
        <f>Parcellaire!G25</f>
        <v>0.7</v>
      </c>
      <c r="BA27" s="30">
        <f>ROUND(Parcellaire!S25,0)</f>
        <v>0</v>
      </c>
      <c r="BB27" s="30">
        <f>ROUND(Parcellaire!T25,0)</f>
        <v>293</v>
      </c>
      <c r="BC27" s="30">
        <f>ROUND(Parcellaire!U25,0)</f>
        <v>195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10"/>
        <v>PF</v>
      </c>
      <c r="BG27" s="173">
        <f t="shared" si="11"/>
        <v>0</v>
      </c>
      <c r="BH27" s="173">
        <f t="shared" si="4"/>
        <v>293</v>
      </c>
      <c r="BI27" s="173">
        <f t="shared" si="5"/>
        <v>0</v>
      </c>
      <c r="BJ27" s="173">
        <f t="shared" si="6"/>
        <v>0</v>
      </c>
      <c r="BK27" s="173">
        <f t="shared" si="7"/>
        <v>0.7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25</v>
      </c>
      <c r="AW28" s="30">
        <f>Parcellaire!B26</f>
        <v>1</v>
      </c>
      <c r="AX28" s="30" t="str">
        <f>Parcellaire!D26</f>
        <v>proche</v>
      </c>
      <c r="AY28" s="30">
        <f>Parcellaire!F26</f>
        <v>310</v>
      </c>
      <c r="AZ28" s="30">
        <f>Parcellaire!G26</f>
        <v>1.5</v>
      </c>
      <c r="BA28" s="30">
        <f>ROUND(Parcellaire!S26,0)</f>
        <v>0</v>
      </c>
      <c r="BB28" s="30">
        <f>ROUND(Parcellaire!T26,0)</f>
        <v>409</v>
      </c>
      <c r="BC28" s="30">
        <f>ROUND(Parcellaire!U26,0)</f>
        <v>272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10"/>
        <v>PF</v>
      </c>
      <c r="BG28" s="173">
        <f t="shared" si="11"/>
        <v>0</v>
      </c>
      <c r="BH28" s="173">
        <f t="shared" si="4"/>
        <v>409</v>
      </c>
      <c r="BI28" s="173">
        <f t="shared" si="5"/>
        <v>0</v>
      </c>
      <c r="BJ28" s="173">
        <f t="shared" si="6"/>
        <v>0</v>
      </c>
      <c r="BK28" s="173">
        <f t="shared" si="7"/>
        <v>1.5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4</v>
      </c>
      <c r="F29" s="177">
        <f>F25*[1]Protect!$B$12</f>
        <v>4</v>
      </c>
      <c r="G29" s="177">
        <f>G25*[1]Protect!$B$12</f>
        <v>4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6</v>
      </c>
      <c r="N29" s="177">
        <f>N25*[1]Protect!$B$12</f>
        <v>6</v>
      </c>
      <c r="O29" s="177">
        <f>O25*[1]Protect!$B$12</f>
        <v>6</v>
      </c>
      <c r="P29" s="177">
        <f>P25*[1]Protect!$B$12</f>
        <v>6</v>
      </c>
      <c r="Q29" s="177">
        <f>Q25*[1]Protect!$B$12</f>
        <v>6</v>
      </c>
      <c r="R29" s="177">
        <f>R25*[1]Protect!$B$12</f>
        <v>6</v>
      </c>
      <c r="S29" s="177">
        <f>S25*[1]Protect!$B$12</f>
        <v>6</v>
      </c>
      <c r="T29" s="177">
        <f>T25*[1]Protect!$B$12</f>
        <v>6</v>
      </c>
      <c r="U29" s="177">
        <f>U25*[1]Protect!$B$12</f>
        <v>6</v>
      </c>
      <c r="V29" s="177">
        <f>V25*[1]Protect!$B$12</f>
        <v>6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26</v>
      </c>
      <c r="AW29" s="30">
        <f>Parcellaire!B27</f>
        <v>1</v>
      </c>
      <c r="AX29" s="30" t="str">
        <f>Parcellaire!D27</f>
        <v>proche</v>
      </c>
      <c r="AY29" s="30">
        <f>Parcellaire!F27</f>
        <v>310</v>
      </c>
      <c r="AZ29" s="30">
        <f>Parcellaire!G27</f>
        <v>2</v>
      </c>
      <c r="BA29" s="30">
        <f>ROUND(Parcellaire!S27,0)</f>
        <v>0</v>
      </c>
      <c r="BB29" s="30">
        <f>ROUND(Parcellaire!T27,0)</f>
        <v>495</v>
      </c>
      <c r="BC29" s="30">
        <f>ROUND(Parcellaire!U27,0)</f>
        <v>330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10"/>
        <v>PF</v>
      </c>
      <c r="BG29" s="173">
        <f t="shared" si="11"/>
        <v>0</v>
      </c>
      <c r="BH29" s="173">
        <f t="shared" si="4"/>
        <v>495</v>
      </c>
      <c r="BI29" s="173">
        <f t="shared" si="5"/>
        <v>0</v>
      </c>
      <c r="BJ29" s="173">
        <f t="shared" si="6"/>
        <v>0</v>
      </c>
      <c r="BK29" s="173">
        <f t="shared" si="7"/>
        <v>2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27</v>
      </c>
      <c r="AW30" s="30">
        <f>Parcellaire!B28</f>
        <v>1</v>
      </c>
      <c r="AX30" s="30" t="str">
        <f>Parcellaire!D28</f>
        <v>proche</v>
      </c>
      <c r="AY30" s="30">
        <f>Parcellaire!F28</f>
        <v>310</v>
      </c>
      <c r="AZ30" s="30">
        <f>Parcellaire!G28</f>
        <v>1.5</v>
      </c>
      <c r="BA30" s="30">
        <f>ROUND(Parcellaire!S28,0)</f>
        <v>0</v>
      </c>
      <c r="BB30" s="30">
        <f>ROUND(Parcellaire!T28,0)</f>
        <v>429</v>
      </c>
      <c r="BC30" s="30">
        <f>ROUND(Parcellaire!U28,0)</f>
        <v>286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10"/>
        <v>PF</v>
      </c>
      <c r="BG30" s="173">
        <f t="shared" si="11"/>
        <v>0</v>
      </c>
      <c r="BH30" s="173">
        <f t="shared" si="4"/>
        <v>429</v>
      </c>
      <c r="BI30" s="173">
        <f t="shared" si="5"/>
        <v>0</v>
      </c>
      <c r="BJ30" s="173">
        <f t="shared" si="6"/>
        <v>0</v>
      </c>
      <c r="BK30" s="173">
        <f t="shared" si="7"/>
        <v>1.5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5294</v>
      </c>
      <c r="BI31" s="62">
        <f t="shared" si="27"/>
        <v>2927</v>
      </c>
      <c r="BJ31" s="62">
        <f t="shared" si="27"/>
        <v>0</v>
      </c>
      <c r="BK31" s="62">
        <f t="shared" si="27"/>
        <v>22.5</v>
      </c>
      <c r="BL31" s="62">
        <f>SUM(BL3:BL30)</f>
        <v>10.5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4</v>
      </c>
      <c r="F32" s="177">
        <f t="shared" si="28"/>
        <v>4</v>
      </c>
      <c r="G32" s="177">
        <f t="shared" si="28"/>
        <v>4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6</v>
      </c>
      <c r="N32" s="177">
        <f t="shared" si="28"/>
        <v>6</v>
      </c>
      <c r="O32" s="177">
        <f t="shared" si="28"/>
        <v>6</v>
      </c>
      <c r="P32" s="177">
        <f t="shared" si="28"/>
        <v>6</v>
      </c>
      <c r="Q32" s="177">
        <f t="shared" si="28"/>
        <v>6</v>
      </c>
      <c r="R32" s="177">
        <f t="shared" si="28"/>
        <v>6</v>
      </c>
      <c r="S32" s="177">
        <f t="shared" si="28"/>
        <v>6</v>
      </c>
      <c r="T32" s="177">
        <f t="shared" si="28"/>
        <v>6</v>
      </c>
      <c r="U32" s="177">
        <f t="shared" si="28"/>
        <v>6</v>
      </c>
      <c r="V32" s="177">
        <f t="shared" si="28"/>
        <v>6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8</v>
      </c>
      <c r="F34" s="177">
        <f t="shared" si="29"/>
        <v>8</v>
      </c>
      <c r="G34" s="177">
        <f t="shared" si="29"/>
        <v>8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12</v>
      </c>
      <c r="V34" s="177">
        <f t="shared" si="29"/>
        <v>12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3</v>
      </c>
      <c r="N36" s="173">
        <f t="shared" si="30"/>
        <v>3</v>
      </c>
      <c r="O36" s="173">
        <f t="shared" si="30"/>
        <v>3</v>
      </c>
      <c r="P36" s="173">
        <f t="shared" si="30"/>
        <v>3</v>
      </c>
      <c r="Q36" s="173">
        <f t="shared" si="30"/>
        <v>3</v>
      </c>
      <c r="R36" s="173">
        <f t="shared" si="30"/>
        <v>3</v>
      </c>
      <c r="S36" s="173">
        <f t="shared" si="30"/>
        <v>3</v>
      </c>
      <c r="T36" s="173">
        <f t="shared" si="30"/>
        <v>3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3</v>
      </c>
      <c r="N39" s="62">
        <f t="shared" si="33"/>
        <v>3</v>
      </c>
      <c r="O39" s="62">
        <f t="shared" si="33"/>
        <v>3</v>
      </c>
      <c r="P39" s="62">
        <f t="shared" si="33"/>
        <v>3</v>
      </c>
      <c r="Q39" s="62">
        <f t="shared" si="33"/>
        <v>3</v>
      </c>
      <c r="R39" s="62">
        <f t="shared" si="33"/>
        <v>3</v>
      </c>
      <c r="S39" s="62">
        <f t="shared" si="33"/>
        <v>3</v>
      </c>
      <c r="T39" s="62">
        <f t="shared" si="33"/>
        <v>3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303.96739130434776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17.203260869565216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73.986956521739145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5.4326086956521733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2</v>
      </c>
      <c r="H82" s="173">
        <f>CdTrp1!G77</f>
        <v>2</v>
      </c>
      <c r="I82" s="173">
        <f>CdTrp1!H77</f>
        <v>2</v>
      </c>
      <c r="J82" s="173">
        <f>CdTrp1!I77</f>
        <v>2</v>
      </c>
      <c r="K82" s="173">
        <f>CdTrp1!J77</f>
        <v>2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2</v>
      </c>
      <c r="W82" s="173">
        <f>CdTrp1!V77</f>
        <v>2</v>
      </c>
      <c r="X82" s="173">
        <f>CdTrp1!W77</f>
        <v>2</v>
      </c>
      <c r="Y82" s="173">
        <f>CdTrp1!X77</f>
        <v>2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0</v>
      </c>
      <c r="N110" s="173">
        <f>IF($AA110=0,99,IF(N123&gt;3,CdTrp2!M76,CdTrp2!M52))</f>
        <v>0</v>
      </c>
      <c r="O110" s="173">
        <f>IF($AA110=0,99,IF(O123&gt;3,CdTrp2!N76,CdTrp2!N52))</f>
        <v>0</v>
      </c>
      <c r="P110" s="173">
        <f>IF($AA110=0,99,IF(P123&gt;3,CdTrp2!O76,CdTrp2!O52))</f>
        <v>0</v>
      </c>
      <c r="Q110" s="173">
        <f>IF($AA110=0,99,IF(Q123&gt;3,CdTrp2!P76,CdTrp2!P52))</f>
        <v>0</v>
      </c>
      <c r="R110" s="173">
        <f>IF($AA110=0,99,IF(R123&gt;3,CdTrp2!Q76,CdTrp2!Q52))</f>
        <v>0</v>
      </c>
      <c r="S110" s="173">
        <f>IF($AA110=0,99,IF(S123&gt;3,CdTrp2!R76,CdTrp2!R52))</f>
        <v>0</v>
      </c>
      <c r="T110" s="173">
        <f>IF($AA110=0,99,IF(T123&gt;3,CdTrp2!S76,CdTrp2!S52))</f>
        <v>0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15.82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2.9750000000000001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10.080000000000005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2</v>
      </c>
      <c r="S123" s="30">
        <f>CdTrp2!R76</f>
        <v>2</v>
      </c>
      <c r="T123" s="30">
        <f>CdTrp2!S76</f>
        <v>2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1395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1396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1397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1398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1399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1400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1401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1402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1403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1404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1405</v>
      </c>
      <c r="C201" s="173">
        <f>IF(Troupeau!$B$3="OL",C8+C9,0)</f>
        <v>2</v>
      </c>
      <c r="D201" s="173">
        <f>IF(Troupeau!$B$3="OL",D8+D9,0)</f>
        <v>2</v>
      </c>
      <c r="E201" s="173">
        <f>IF(Troupeau!$B$3="OL",E8+E9,0)</f>
        <v>2</v>
      </c>
      <c r="F201" s="173">
        <f>IF(Troupeau!$B$3="OL",F8+F9,0)</f>
        <v>4</v>
      </c>
      <c r="G201" s="173">
        <f>IF(Troupeau!$B$3="OL",G8+G9,0)</f>
        <v>4</v>
      </c>
      <c r="H201" s="173">
        <f>IF(Troupeau!$B$3="OL",H8+H9,0)</f>
        <v>4</v>
      </c>
      <c r="I201" s="173">
        <f>IF(Troupeau!$B$3="OL",I8+I9,0)</f>
        <v>4</v>
      </c>
      <c r="J201" s="173">
        <f>IF(Troupeau!$B$3="OL",J8+J9,0)</f>
        <v>4</v>
      </c>
      <c r="K201" s="173">
        <f>IF(Troupeau!$B$3="OL",K8+K9,0)</f>
        <v>4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4</v>
      </c>
      <c r="W201" s="173">
        <f>IF(Troupeau!$B$3="OL",W8+W9,0)</f>
        <v>2</v>
      </c>
      <c r="X201" s="173">
        <f>IF(Troupeau!$B$3="OL",X8+X9,0)</f>
        <v>2</v>
      </c>
      <c r="Y201" s="173">
        <f>IF(Troupeau!$B$3="OL",Y8+Y9,0)</f>
        <v>2</v>
      </c>
      <c r="Z201" s="173">
        <f>IF(Troupeau!$B$3="OL",Z8+Z9,0)</f>
        <v>2</v>
      </c>
    </row>
    <row r="202" spans="1:26" x14ac:dyDescent="0.25">
      <c r="A202" t="s">
        <v>1406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1425</v>
      </c>
      <c r="C203" s="173">
        <f>SUM(C201:C202)</f>
        <v>2</v>
      </c>
      <c r="D203" s="173">
        <f t="shared" ref="D203:Z203" si="51">SUM(D201:D202)</f>
        <v>2</v>
      </c>
      <c r="E203" s="173">
        <f t="shared" si="51"/>
        <v>2</v>
      </c>
      <c r="F203" s="173">
        <f t="shared" si="51"/>
        <v>4</v>
      </c>
      <c r="G203" s="173">
        <f t="shared" si="51"/>
        <v>4</v>
      </c>
      <c r="H203" s="173">
        <f t="shared" si="51"/>
        <v>4</v>
      </c>
      <c r="I203" s="173">
        <f t="shared" si="51"/>
        <v>4</v>
      </c>
      <c r="J203" s="173">
        <f t="shared" si="51"/>
        <v>4</v>
      </c>
      <c r="K203" s="173">
        <f t="shared" si="51"/>
        <v>4</v>
      </c>
      <c r="L203" s="173">
        <f t="shared" si="51"/>
        <v>4</v>
      </c>
      <c r="M203" s="173">
        <f t="shared" si="51"/>
        <v>4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4</v>
      </c>
      <c r="V203" s="173">
        <f t="shared" si="51"/>
        <v>4</v>
      </c>
      <c r="W203" s="173">
        <f t="shared" si="51"/>
        <v>2</v>
      </c>
      <c r="X203" s="173">
        <f t="shared" si="51"/>
        <v>2</v>
      </c>
      <c r="Y203" s="173">
        <f t="shared" si="51"/>
        <v>2</v>
      </c>
      <c r="Z203" s="173">
        <f t="shared" si="51"/>
        <v>2</v>
      </c>
    </row>
    <row r="204" spans="1:26" x14ac:dyDescent="0.25">
      <c r="A204" t="s">
        <v>1407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1408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1409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1410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1411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1412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1413</v>
      </c>
      <c r="C212" s="173">
        <f>C201+C204+C206+C208</f>
        <v>2</v>
      </c>
      <c r="D212" s="173">
        <f t="shared" ref="D212:Z213" si="52">D201+D204+D206+D208</f>
        <v>2</v>
      </c>
      <c r="E212" s="173">
        <f t="shared" si="52"/>
        <v>2</v>
      </c>
      <c r="F212" s="173">
        <f t="shared" si="52"/>
        <v>4</v>
      </c>
      <c r="G212" s="173">
        <f t="shared" si="52"/>
        <v>4</v>
      </c>
      <c r="H212" s="173">
        <f t="shared" si="52"/>
        <v>4</v>
      </c>
      <c r="I212" s="173">
        <f t="shared" si="52"/>
        <v>4</v>
      </c>
      <c r="J212" s="173">
        <f t="shared" si="52"/>
        <v>4</v>
      </c>
      <c r="K212" s="173">
        <f t="shared" si="52"/>
        <v>4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4</v>
      </c>
      <c r="W212" s="173">
        <f t="shared" si="52"/>
        <v>2</v>
      </c>
      <c r="X212" s="173">
        <f t="shared" si="52"/>
        <v>2</v>
      </c>
      <c r="Y212" s="173">
        <f t="shared" si="52"/>
        <v>2</v>
      </c>
      <c r="Z212" s="173">
        <f t="shared" si="52"/>
        <v>2</v>
      </c>
    </row>
    <row r="213" spans="1:26" x14ac:dyDescent="0.25">
      <c r="A213" s="15" t="s">
        <v>1414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1415</v>
      </c>
      <c r="C214" s="173">
        <f>C212+C213</f>
        <v>2</v>
      </c>
      <c r="D214" s="173">
        <f t="shared" ref="D214:Z214" si="53">D212+D213</f>
        <v>2</v>
      </c>
      <c r="E214" s="173">
        <f t="shared" si="53"/>
        <v>2</v>
      </c>
      <c r="F214" s="173">
        <f t="shared" si="53"/>
        <v>4</v>
      </c>
      <c r="G214" s="173">
        <f t="shared" si="53"/>
        <v>4</v>
      </c>
      <c r="H214" s="173">
        <f t="shared" si="53"/>
        <v>4</v>
      </c>
      <c r="I214" s="173">
        <f t="shared" si="53"/>
        <v>4</v>
      </c>
      <c r="J214" s="173">
        <f t="shared" si="53"/>
        <v>4</v>
      </c>
      <c r="K214" s="173">
        <f t="shared" si="53"/>
        <v>4</v>
      </c>
      <c r="L214" s="173">
        <f t="shared" si="53"/>
        <v>4</v>
      </c>
      <c r="M214" s="173">
        <f t="shared" si="53"/>
        <v>4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4</v>
      </c>
      <c r="V214" s="173">
        <f t="shared" si="53"/>
        <v>4</v>
      </c>
      <c r="W214" s="173">
        <f t="shared" si="53"/>
        <v>2</v>
      </c>
      <c r="X214" s="173">
        <f t="shared" si="53"/>
        <v>2</v>
      </c>
      <c r="Y214" s="173">
        <f t="shared" si="53"/>
        <v>2</v>
      </c>
      <c r="Z214" s="173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310.43478260869563</v>
      </c>
      <c r="AW4" s="173">
        <f>CdTrp1!C15</f>
        <v>307.33043478260868</v>
      </c>
      <c r="AX4" s="173">
        <f>CdTrp1!D15</f>
        <v>304.22608695652173</v>
      </c>
      <c r="AY4" s="173">
        <f>CdTrp1!E15</f>
        <v>302.67391304347825</v>
      </c>
      <c r="AZ4" s="173">
        <f>CdTrp1!F15</f>
        <v>301.12173913043478</v>
      </c>
      <c r="BA4" s="173">
        <f>CdTrp1!G15</f>
        <v>299.5695652173913</v>
      </c>
      <c r="BB4" s="173">
        <f>CdTrp1!H15</f>
        <v>298.01739130434783</v>
      </c>
      <c r="BC4" s="173">
        <f>CdTrp1!I15</f>
        <v>296.46521739130435</v>
      </c>
      <c r="BD4" s="173">
        <f>CdTrp1!J15</f>
        <v>293.3608695652174</v>
      </c>
      <c r="BE4" s="173">
        <f>CdTrp1!K15</f>
        <v>299.5695652173913</v>
      </c>
      <c r="BF4" s="173">
        <f>CdTrp1!L15</f>
        <v>299.5695652173913</v>
      </c>
      <c r="BG4" s="173">
        <f>CdTrp1!M15</f>
        <v>299.5695652173913</v>
      </c>
      <c r="BH4" s="173">
        <f>CdTrp1!N15</f>
        <v>299.5695652173913</v>
      </c>
      <c r="BI4" s="173">
        <f>CdTrp1!O15</f>
        <v>299.5695652173913</v>
      </c>
      <c r="BJ4" s="173">
        <f>CdTrp1!P15</f>
        <v>299.5695652173913</v>
      </c>
      <c r="BK4" s="173">
        <f>CdTrp1!Q15</f>
        <v>299.5695652173913</v>
      </c>
      <c r="BL4" s="173">
        <f>CdTrp1!R15</f>
        <v>299.5695652173913</v>
      </c>
      <c r="BM4" s="173">
        <f>CdTrp1!S15</f>
        <v>299.5695652173913</v>
      </c>
      <c r="BN4" s="173">
        <f>CdTrp1!T15</f>
        <v>299.5695652173913</v>
      </c>
      <c r="BO4" s="173">
        <f>CdTrp1!U15</f>
        <v>327.50869565217391</v>
      </c>
      <c r="BP4" s="173">
        <f>CdTrp1!V15</f>
        <v>327.50869565217391</v>
      </c>
      <c r="BQ4" s="173">
        <f>CdTrp1!W15</f>
        <v>310.43478260869563</v>
      </c>
      <c r="BR4" s="173">
        <f>CdTrp1!X15</f>
        <v>310.43478260869563</v>
      </c>
      <c r="BS4" s="173">
        <f>CdTrp1!Y15</f>
        <v>310.43478260869563</v>
      </c>
      <c r="BZ4" s="189" t="str">
        <f>+CdTrp2!A15</f>
        <v xml:space="preserve">vaches </v>
      </c>
      <c r="CA4" s="172"/>
      <c r="CB4" s="270">
        <f>CdTrp2!B15</f>
        <v>15.96</v>
      </c>
      <c r="CC4" s="270">
        <f>CdTrp2!C15</f>
        <v>15.96</v>
      </c>
      <c r="CD4" s="270">
        <f>CdTrp2!D15</f>
        <v>15.96</v>
      </c>
      <c r="CE4" s="270">
        <f>CdTrp2!E15</f>
        <v>15.96</v>
      </c>
      <c r="CF4" s="270">
        <f>CdTrp2!F15</f>
        <v>15.96</v>
      </c>
      <c r="CG4" s="270">
        <f>CdTrp2!G15</f>
        <v>15.96</v>
      </c>
      <c r="CH4" s="270">
        <f>CdTrp2!H15</f>
        <v>15.96</v>
      </c>
      <c r="CI4" s="270">
        <f>CdTrp2!I15</f>
        <v>15.96</v>
      </c>
      <c r="CJ4" s="270">
        <f>CdTrp2!J15</f>
        <v>15.96</v>
      </c>
      <c r="CK4" s="270">
        <f>CdTrp2!K15</f>
        <v>15.96</v>
      </c>
      <c r="CL4" s="270">
        <f>CdTrp2!L15</f>
        <v>15.96</v>
      </c>
      <c r="CM4" s="270">
        <f>CdTrp2!M15</f>
        <v>15.96</v>
      </c>
      <c r="CN4" s="270">
        <f>CdTrp2!N15</f>
        <v>15.96</v>
      </c>
      <c r="CO4" s="270">
        <f>CdTrp2!O15</f>
        <v>15.96</v>
      </c>
      <c r="CP4" s="270">
        <f>CdTrp2!P15</f>
        <v>15.96</v>
      </c>
      <c r="CQ4" s="270">
        <f>CdTrp2!Q15</f>
        <v>15.96</v>
      </c>
      <c r="CR4" s="270">
        <f>CdTrp2!R15</f>
        <v>15.12</v>
      </c>
      <c r="CS4" s="270">
        <f>CdTrp2!S15</f>
        <v>15.12</v>
      </c>
      <c r="CT4" s="270">
        <f>CdTrp2!T15</f>
        <v>15.12</v>
      </c>
      <c r="CU4" s="270">
        <f>CdTrp2!U15</f>
        <v>15.12</v>
      </c>
      <c r="CV4" s="270">
        <f>CdTrp2!V15</f>
        <v>15.96</v>
      </c>
      <c r="CW4" s="270">
        <f>CdTrp2!W15</f>
        <v>15.96</v>
      </c>
      <c r="CX4" s="270">
        <f>CdTrp2!X15</f>
        <v>15.96</v>
      </c>
      <c r="CY4" s="270">
        <f>CdTrp2!Y15</f>
        <v>15.96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574</v>
      </c>
      <c r="G5" s="173">
        <f>AV117</f>
        <v>21</v>
      </c>
      <c r="H5" s="173">
        <f t="shared" ref="H5:AD5" si="0">AW117</f>
        <v>21</v>
      </c>
      <c r="I5" s="173">
        <f t="shared" si="0"/>
        <v>21</v>
      </c>
      <c r="J5" s="173">
        <f t="shared" si="0"/>
        <v>35</v>
      </c>
      <c r="K5" s="173">
        <f t="shared" si="0"/>
        <v>35</v>
      </c>
      <c r="L5" s="173">
        <f t="shared" si="0"/>
        <v>35</v>
      </c>
      <c r="M5" s="173">
        <f t="shared" si="0"/>
        <v>35</v>
      </c>
      <c r="N5" s="173">
        <f t="shared" si="0"/>
        <v>35</v>
      </c>
      <c r="O5" s="173">
        <f t="shared" si="0"/>
        <v>35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35</v>
      </c>
      <c r="AA5" s="173">
        <f t="shared" si="0"/>
        <v>21</v>
      </c>
      <c r="AB5" s="173">
        <f t="shared" si="0"/>
        <v>21</v>
      </c>
      <c r="AC5" s="173">
        <f t="shared" si="0"/>
        <v>21</v>
      </c>
      <c r="AD5" s="173">
        <f t="shared" si="0"/>
        <v>21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29.491304347826087</v>
      </c>
      <c r="AW5" s="173">
        <f>CdTrp1!C16</f>
        <v>29.491304347826087</v>
      </c>
      <c r="AX5" s="173">
        <f>CdTrp1!D16</f>
        <v>29.491304347826087</v>
      </c>
      <c r="AY5" s="173">
        <f>CdTrp1!E16</f>
        <v>29.491304347826087</v>
      </c>
      <c r="AZ5" s="173">
        <f>CdTrp1!F16</f>
        <v>29.491304347826087</v>
      </c>
      <c r="BA5" s="173">
        <f>CdTrp1!G16</f>
        <v>29.491304347826087</v>
      </c>
      <c r="BB5" s="173">
        <f>CdTrp1!H16</f>
        <v>29.491304347826087</v>
      </c>
      <c r="BC5" s="173">
        <f>CdTrp1!I16</f>
        <v>29.491304347826087</v>
      </c>
      <c r="BD5" s="173">
        <f>CdTrp1!J16</f>
        <v>29.491304347826087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29.491304347826087</v>
      </c>
      <c r="BP5" s="173">
        <f>CdTrp1!V16</f>
        <v>29.491304347826087</v>
      </c>
      <c r="BQ5" s="173">
        <f>CdTrp1!W16</f>
        <v>29.491304347826087</v>
      </c>
      <c r="BR5" s="173">
        <f>CdTrp1!X16</f>
        <v>29.491304347826087</v>
      </c>
      <c r="BS5" s="173">
        <f>CdTrp1!Y16</f>
        <v>29.491304347826087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1.68</v>
      </c>
      <c r="CH5" s="270">
        <f>CdTrp2!H16</f>
        <v>3.36</v>
      </c>
      <c r="CI5" s="270">
        <f>CdTrp2!I16</f>
        <v>5.04</v>
      </c>
      <c r="CJ5" s="270">
        <f>CdTrp2!J16</f>
        <v>5.04</v>
      </c>
      <c r="CK5" s="270">
        <f>CdTrp2!K16</f>
        <v>5.04</v>
      </c>
      <c r="CL5" s="270">
        <f>CdTrp2!L16</f>
        <v>5.04</v>
      </c>
      <c r="CM5" s="270">
        <f>CdTrp2!M16</f>
        <v>5.04</v>
      </c>
      <c r="CN5" s="270">
        <f>CdTrp2!N16</f>
        <v>5.04</v>
      </c>
      <c r="CO5" s="270">
        <f>CdTrp2!O16</f>
        <v>5.04</v>
      </c>
      <c r="CP5" s="270">
        <f>CdTrp2!P16</f>
        <v>5.04</v>
      </c>
      <c r="CQ5" s="270">
        <f>CdTrp2!Q16</f>
        <v>5.04</v>
      </c>
      <c r="CR5" s="270">
        <f>CdTrp2!R16</f>
        <v>5.04</v>
      </c>
      <c r="CS5" s="270">
        <f>CdTrp2!S16</f>
        <v>5.04</v>
      </c>
      <c r="CT5" s="270">
        <f>CdTrp2!T16</f>
        <v>4.2</v>
      </c>
      <c r="CU5" s="270">
        <f>CdTrp2!U16</f>
        <v>4.2</v>
      </c>
      <c r="CV5" s="270">
        <f>CdTrp2!V16</f>
        <v>1.68</v>
      </c>
      <c r="CW5" s="270">
        <f>CdTrp2!W16</f>
        <v>0.84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181.65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10.5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12.25</v>
      </c>
      <c r="R6" s="173">
        <f t="shared" si="2"/>
        <v>12.25</v>
      </c>
      <c r="S6" s="173">
        <f t="shared" si="2"/>
        <v>12.25</v>
      </c>
      <c r="T6" s="173">
        <f t="shared" si="2"/>
        <v>12.25</v>
      </c>
      <c r="U6" s="173">
        <f t="shared" si="2"/>
        <v>12.25</v>
      </c>
      <c r="V6" s="173">
        <f t="shared" si="2"/>
        <v>14</v>
      </c>
      <c r="W6" s="173">
        <f t="shared" si="2"/>
        <v>14</v>
      </c>
      <c r="X6" s="173">
        <f t="shared" si="2"/>
        <v>14</v>
      </c>
      <c r="Y6" s="173">
        <f t="shared" si="2"/>
        <v>19.25</v>
      </c>
      <c r="Z6" s="173">
        <f t="shared" si="2"/>
        <v>17.5</v>
      </c>
      <c r="AA6" s="173">
        <f t="shared" si="2"/>
        <v>24.5</v>
      </c>
      <c r="AB6" s="173">
        <f t="shared" si="2"/>
        <v>24.5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80.713043478260872</v>
      </c>
      <c r="AW6" s="173">
        <f>CdTrp1!C17</f>
        <v>80.713043478260872</v>
      </c>
      <c r="AX6" s="173">
        <f>CdTrp1!D17</f>
        <v>80.713043478260872</v>
      </c>
      <c r="AY6" s="173">
        <f>CdTrp1!E17</f>
        <v>80.713043478260872</v>
      </c>
      <c r="AZ6" s="173">
        <f>CdTrp1!F17</f>
        <v>80.713043478260872</v>
      </c>
      <c r="BA6" s="173">
        <f>CdTrp1!G17</f>
        <v>80.713043478260872</v>
      </c>
      <c r="BB6" s="173">
        <f>CdTrp1!H17</f>
        <v>80.713043478260872</v>
      </c>
      <c r="BC6" s="173">
        <f>CdTrp1!I17</f>
        <v>80.713043478260872</v>
      </c>
      <c r="BD6" s="173">
        <f>CdTrp1!J17</f>
        <v>80.713043478260872</v>
      </c>
      <c r="BE6" s="173">
        <f>CdTrp1!K17</f>
        <v>80.713043478260872</v>
      </c>
      <c r="BF6" s="173">
        <f>CdTrp1!L17</f>
        <v>80.713043478260872</v>
      </c>
      <c r="BG6" s="173">
        <f>CdTrp1!M17</f>
        <v>80.713043478260872</v>
      </c>
      <c r="BH6" s="173">
        <f>CdTrp1!N17</f>
        <v>80.713043478260872</v>
      </c>
      <c r="BI6" s="173">
        <f>CdTrp1!O17</f>
        <v>80.713043478260872</v>
      </c>
      <c r="BJ6" s="173">
        <f>CdTrp1!P17</f>
        <v>80.713043478260872</v>
      </c>
      <c r="BK6" s="173">
        <f>CdTrp1!Q17</f>
        <v>80.713043478260872</v>
      </c>
      <c r="BL6" s="173">
        <f>CdTrp1!R17</f>
        <v>80.713043478260872</v>
      </c>
      <c r="BM6" s="173">
        <f>CdTrp1!S17</f>
        <v>80.713043478260872</v>
      </c>
      <c r="BN6" s="173">
        <f>CdTrp1!T17</f>
        <v>80.713043478260872</v>
      </c>
      <c r="BO6" s="173">
        <f>CdTrp1!U17</f>
        <v>0</v>
      </c>
      <c r="BP6" s="173">
        <f>CdTrp1!V17</f>
        <v>0</v>
      </c>
      <c r="BQ6" s="173">
        <f>CdTrp1!W17</f>
        <v>80.713043478260872</v>
      </c>
      <c r="BR6" s="173">
        <f>CdTrp1!X17</f>
        <v>80.713043478260872</v>
      </c>
      <c r="BS6" s="173">
        <f>CdTrp1!Y17</f>
        <v>80.713043478260872</v>
      </c>
      <c r="BZ6" s="189" t="str">
        <f>+CdTrp2!A17</f>
        <v>genisses +1an</v>
      </c>
      <c r="CA6" s="172"/>
      <c r="CB6" s="270">
        <f>CdTrp2!B17</f>
        <v>10.08</v>
      </c>
      <c r="CC6" s="270">
        <f>CdTrp2!C17</f>
        <v>10.08</v>
      </c>
      <c r="CD6" s="270">
        <f>CdTrp2!D17</f>
        <v>10.08</v>
      </c>
      <c r="CE6" s="270">
        <f>CdTrp2!E17</f>
        <v>10.08</v>
      </c>
      <c r="CF6" s="270">
        <f>CdTrp2!F17</f>
        <v>10.08</v>
      </c>
      <c r="CG6" s="270">
        <f>CdTrp2!G17</f>
        <v>10.08</v>
      </c>
      <c r="CH6" s="270">
        <f>CdTrp2!H17</f>
        <v>10.08</v>
      </c>
      <c r="CI6" s="270">
        <f>CdTrp2!I17</f>
        <v>10.08</v>
      </c>
      <c r="CJ6" s="270">
        <f>CdTrp2!J17</f>
        <v>10.08</v>
      </c>
      <c r="CK6" s="270">
        <f>CdTrp2!K17</f>
        <v>10.08</v>
      </c>
      <c r="CL6" s="270">
        <f>CdTrp2!L17</f>
        <v>10.08</v>
      </c>
      <c r="CM6" s="270">
        <f>CdTrp2!M17</f>
        <v>10.08</v>
      </c>
      <c r="CN6" s="270">
        <f>CdTrp2!N17</f>
        <v>10.08</v>
      </c>
      <c r="CO6" s="270">
        <f>CdTrp2!O17</f>
        <v>10.08</v>
      </c>
      <c r="CP6" s="270">
        <f>CdTrp2!P17</f>
        <v>10.08</v>
      </c>
      <c r="CQ6" s="270">
        <f>CdTrp2!Q17</f>
        <v>10.08</v>
      </c>
      <c r="CR6" s="270">
        <f>CdTrp2!R17</f>
        <v>10.08</v>
      </c>
      <c r="CS6" s="270">
        <f>CdTrp2!S17</f>
        <v>10.08</v>
      </c>
      <c r="CT6" s="270">
        <f>CdTrp2!T17</f>
        <v>10.08</v>
      </c>
      <c r="CU6" s="270">
        <f>CdTrp2!U17</f>
        <v>10.08</v>
      </c>
      <c r="CV6" s="270">
        <f>CdTrp2!V17</f>
        <v>10.08</v>
      </c>
      <c r="CW6" s="270">
        <f>CdTrp2!W17</f>
        <v>10.08</v>
      </c>
      <c r="CX6" s="270">
        <f>CdTrp2!X17</f>
        <v>10.08</v>
      </c>
      <c r="CY6" s="270">
        <f>CdTrp2!Y17</f>
        <v>10.08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9.3130434782608695</v>
      </c>
      <c r="AW7" s="173">
        <f>CdTrp1!C18</f>
        <v>9.3130434782608695</v>
      </c>
      <c r="AX7" s="173">
        <f>CdTrp1!D18</f>
        <v>9.3130434782608695</v>
      </c>
      <c r="AY7" s="173">
        <f>CdTrp1!E18</f>
        <v>9.3130434782608695</v>
      </c>
      <c r="AZ7" s="173">
        <f>CdTrp1!F18</f>
        <v>9.3130434782608695</v>
      </c>
      <c r="BA7" s="173">
        <f>CdTrp1!G18</f>
        <v>9.3130434782608695</v>
      </c>
      <c r="BB7" s="173">
        <f>CdTrp1!H18</f>
        <v>9.3130434782608695</v>
      </c>
      <c r="BC7" s="173">
        <f>CdTrp1!I18</f>
        <v>9.3130434782608695</v>
      </c>
      <c r="BD7" s="173">
        <f>CdTrp1!J18</f>
        <v>9.3130434782608695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9.3130434782608695</v>
      </c>
      <c r="BP7" s="173">
        <f>CdTrp1!V18</f>
        <v>9.3130434782608695</v>
      </c>
      <c r="BQ7" s="173">
        <f>CdTrp1!W18</f>
        <v>9.3130434782608695</v>
      </c>
      <c r="BR7" s="173">
        <f>CdTrp1!X18</f>
        <v>9.3130434782608695</v>
      </c>
      <c r="BS7" s="173">
        <f>CdTrp1!Y18</f>
        <v>9.3130434782608695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1019.1012391304353</v>
      </c>
      <c r="G9" s="30">
        <f>AV102</f>
        <v>55.298326086956521</v>
      </c>
      <c r="H9" s="30">
        <f t="shared" ref="H9:AD9" si="4">AW102</f>
        <v>55.189673913043478</v>
      </c>
      <c r="I9" s="30">
        <f t="shared" si="4"/>
        <v>55.081021739130435</v>
      </c>
      <c r="J9" s="30">
        <f t="shared" si="4"/>
        <v>55.026695652173913</v>
      </c>
      <c r="K9" s="30">
        <f t="shared" si="4"/>
        <v>54.972369565217392</v>
      </c>
      <c r="L9" s="30">
        <f t="shared" si="4"/>
        <v>54.91804347826087</v>
      </c>
      <c r="M9" s="30">
        <f t="shared" si="4"/>
        <v>54.863717391304348</v>
      </c>
      <c r="N9" s="30">
        <f t="shared" si="4"/>
        <v>54.809391304347827</v>
      </c>
      <c r="O9" s="30">
        <f t="shared" si="4"/>
        <v>54.700739130434783</v>
      </c>
      <c r="P9" s="30">
        <f t="shared" si="4"/>
        <v>32.559891304347829</v>
      </c>
      <c r="Q9" s="30">
        <f t="shared" si="4"/>
        <v>32.559891304347829</v>
      </c>
      <c r="R9" s="30">
        <f t="shared" si="4"/>
        <v>22.074956521739132</v>
      </c>
      <c r="S9" s="30">
        <f t="shared" si="4"/>
        <v>22.074956521739132</v>
      </c>
      <c r="T9" s="30">
        <f t="shared" si="4"/>
        <v>22.074956521739132</v>
      </c>
      <c r="U9" s="30">
        <f t="shared" si="4"/>
        <v>22.074956521739132</v>
      </c>
      <c r="V9" s="30">
        <f t="shared" si="4"/>
        <v>22.074956521739132</v>
      </c>
      <c r="W9" s="30">
        <f t="shared" si="4"/>
        <v>22.074956521739132</v>
      </c>
      <c r="X9" s="30">
        <f t="shared" si="4"/>
        <v>22.074956521739132</v>
      </c>
      <c r="Y9" s="30">
        <f t="shared" si="4"/>
        <v>32.559891304347829</v>
      </c>
      <c r="Z9" s="30">
        <f t="shared" si="4"/>
        <v>53.070956521739127</v>
      </c>
      <c r="AA9" s="30">
        <f t="shared" si="4"/>
        <v>53.070956521739127</v>
      </c>
      <c r="AB9" s="30">
        <f t="shared" si="4"/>
        <v>55.298326086956521</v>
      </c>
      <c r="AC9" s="30">
        <f t="shared" si="4"/>
        <v>55.298326086956521</v>
      </c>
      <c r="AD9" s="30">
        <f t="shared" si="4"/>
        <v>55.298326086956521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2399.8512391304339</v>
      </c>
      <c r="G13" s="30">
        <f>SUM(G5:G11)</f>
        <v>118.29832608695652</v>
      </c>
      <c r="H13" s="30">
        <f t="shared" ref="H13:AD13" si="8">SUM(H5:H11)</f>
        <v>118.18967391304348</v>
      </c>
      <c r="I13" s="30">
        <f t="shared" si="8"/>
        <v>123.33102173913043</v>
      </c>
      <c r="J13" s="30">
        <f t="shared" si="8"/>
        <v>137.27669565217391</v>
      </c>
      <c r="K13" s="30">
        <f t="shared" si="8"/>
        <v>137.22236956521738</v>
      </c>
      <c r="L13" s="30">
        <f t="shared" si="8"/>
        <v>142.41804347826087</v>
      </c>
      <c r="M13" s="30">
        <f t="shared" si="8"/>
        <v>130.11371739130436</v>
      </c>
      <c r="N13" s="30">
        <f t="shared" si="8"/>
        <v>133.55939130434783</v>
      </c>
      <c r="O13" s="30">
        <f t="shared" si="8"/>
        <v>133.45073913043478</v>
      </c>
      <c r="P13" s="30">
        <f t="shared" si="8"/>
        <v>104.30989130434783</v>
      </c>
      <c r="Q13" s="30">
        <f t="shared" si="8"/>
        <v>72.809891304347829</v>
      </c>
      <c r="R13" s="30">
        <f t="shared" si="8"/>
        <v>48.324956521739132</v>
      </c>
      <c r="S13" s="30">
        <f t="shared" si="8"/>
        <v>48.324956521739132</v>
      </c>
      <c r="T13" s="30">
        <f t="shared" si="8"/>
        <v>48.324956521739132</v>
      </c>
      <c r="U13" s="30">
        <f t="shared" si="8"/>
        <v>48.324956521739132</v>
      </c>
      <c r="V13" s="30">
        <f t="shared" si="8"/>
        <v>50.074956521739132</v>
      </c>
      <c r="W13" s="30">
        <f t="shared" si="8"/>
        <v>50.074956521739132</v>
      </c>
      <c r="X13" s="30">
        <f t="shared" si="8"/>
        <v>50.074956521739132</v>
      </c>
      <c r="Y13" s="30">
        <f t="shared" si="8"/>
        <v>100.80989130434783</v>
      </c>
      <c r="Z13" s="30">
        <f t="shared" si="8"/>
        <v>126.57095652173913</v>
      </c>
      <c r="AA13" s="30">
        <f t="shared" si="8"/>
        <v>119.57095652173913</v>
      </c>
      <c r="AB13" s="30">
        <f t="shared" si="8"/>
        <v>121.79832608695652</v>
      </c>
      <c r="AC13" s="30">
        <f t="shared" si="8"/>
        <v>118.29832608695652</v>
      </c>
      <c r="AD13" s="30">
        <f t="shared" si="8"/>
        <v>118.29832608695652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3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261.33333333333331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328</v>
      </c>
      <c r="C31" s="190">
        <f>IF(B31&gt;0,VLOOKUP(Troupeau!B3,[1]Trav!$A$96:$B$99,2),0)</f>
        <v>110</v>
      </c>
      <c r="D31" s="172"/>
      <c r="E31" s="172"/>
      <c r="F31" s="173">
        <f>B31*C31/60</f>
        <v>601.33333333333337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17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102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311</v>
      </c>
      <c r="D35" s="190">
        <f>IF(Troupeau!B3="OL",[1]Trav!$B$103,0)</f>
        <v>2.4900000000000002</v>
      </c>
      <c r="E35" s="172"/>
      <c r="F35" s="173">
        <f>B35+C35*D35</f>
        <v>994.3900000000001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1</v>
      </c>
      <c r="CM48" s="173">
        <f>IF(CdTrp2!M76=1,1,IF(CdTrp2!M76=2,2,IF(CdTrp2!M76=3,2,0)))</f>
        <v>1</v>
      </c>
      <c r="CN48" s="173">
        <f>IF(CdTrp2!N76=1,1,IF(CdTrp2!N76=2,2,IF(CdTrp2!N76=3,2,0)))</f>
        <v>1</v>
      </c>
      <c r="CO48" s="173">
        <f>IF(CdTrp2!O76=1,1,IF(CdTrp2!O76=2,2,IF(CdTrp2!O76=3,2,0)))</f>
        <v>1</v>
      </c>
      <c r="CP48" s="173">
        <f>IF(CdTrp2!P76=1,1,IF(CdTrp2!P76=2,2,IF(CdTrp2!P76=3,2,0)))</f>
        <v>1</v>
      </c>
      <c r="CQ48" s="173">
        <f>IF(CdTrp2!Q76=1,1,IF(CdTrp2!Q76=2,2,IF(CdTrp2!Q76=3,2,0)))</f>
        <v>2</v>
      </c>
      <c r="CR48" s="173">
        <f>IF(CdTrp2!R76=1,1,IF(CdTrp2!R76=2,2,IF(CdTrp2!R76=3,2,0)))</f>
        <v>2</v>
      </c>
      <c r="CS48" s="173">
        <f>IF(CdTrp2!S76=1,1,IF(CdTrp2!S76=2,2,IF(CdTrp2!S76=3,2,0)))</f>
        <v>2</v>
      </c>
      <c r="CT48" s="173">
        <f>IF(CdTrp2!T76=1,1,IF(CdTrp2!T76=2,2,IF(CdTrp2!T76=3,2,0)))</f>
        <v>1</v>
      </c>
      <c r="CU48" s="173">
        <f>IF(CdTrp2!U76=1,1,IF(CdTrp2!U76=2,2,IF(CdTrp2!U76=3,2,0)))</f>
        <v>1</v>
      </c>
      <c r="CV48" s="173">
        <f>IF(CdTrp2!V76=1,1,IF(CdTrp2!V76=2,2,IF(CdTrp2!V76=3,2,0)))</f>
        <v>1</v>
      </c>
      <c r="CW48" s="173">
        <f>IF(CdTrp2!W76=1,1,IF(CdTrp2!W76=2,2,IF(CdTrp2!W76=3,2,0)))</f>
        <v>1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2</v>
      </c>
      <c r="CE49" s="173">
        <f>IF(CdTrp2!E77=1,1,IF(CdTrp2!E77=2,2,IF(CdTrp2!E77=3,2,0)))</f>
        <v>2</v>
      </c>
      <c r="CF49" s="173">
        <f>IF(CdTrp2!F77=1,1,IF(CdTrp2!F77=2,2,IF(CdTrp2!F77=3,2,0)))</f>
        <v>2</v>
      </c>
      <c r="CG49" s="173">
        <f>IF(CdTrp2!G77=1,1,IF(CdTrp2!G77=2,2,IF(CdTrp2!G77=3,2,0)))</f>
        <v>2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1</v>
      </c>
      <c r="C50" s="190">
        <f>IF(B50&gt;[1]Trav!$E$116,[1]Trav!C116,[1]Trav!B116)</f>
        <v>11</v>
      </c>
      <c r="E50" s="172"/>
      <c r="F50" s="173">
        <f>ROUND(B50*C50,0)</f>
        <v>11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2.25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2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33</v>
      </c>
      <c r="C54" s="190">
        <f>IF(B54&gt;[1]Trav!E119,[1]Trav!C119,[1]Trav!B119)</f>
        <v>1.4</v>
      </c>
      <c r="D54"/>
      <c r="E54" s="172"/>
      <c r="F54" s="173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22</v>
      </c>
      <c r="C55" s="190">
        <f>IF(B55&gt;[1]Trav!E121,[1]Trav!C121,[1]Trav!B121)</f>
        <v>7.2</v>
      </c>
      <c r="D55"/>
      <c r="E55" s="172"/>
      <c r="F55" s="173">
        <f t="shared" si="32"/>
        <v>158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15.6</v>
      </c>
      <c r="C56" s="190">
        <f>IF(B56&gt;[1]Trav!E121,[1]Trav!C121,[1]Trav!B121)</f>
        <v>7.2</v>
      </c>
      <c r="D56"/>
      <c r="E56" s="172"/>
      <c r="F56" s="173">
        <f t="shared" si="32"/>
        <v>112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0</v>
      </c>
      <c r="C58" s="190">
        <f>IF(B58&gt;[1]Trav!E122,[1]Trav!C122,[1]Trav!B122)</f>
        <v>4.4000000000000004</v>
      </c>
      <c r="E58" s="172"/>
      <c r="F58" s="173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3</v>
      </c>
      <c r="C59" s="190">
        <f>[1]Trav!$B$123</f>
        <v>7.2</v>
      </c>
      <c r="E59" s="172"/>
      <c r="F59" s="173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31</v>
      </c>
      <c r="BZ59" s="14" t="s">
        <v>796</v>
      </c>
      <c r="CA59" s="30">
        <f>VALUE(CONCATENATE(Scénario!K8,Travail!CA2))</f>
        <v>32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30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211</v>
      </c>
      <c r="CM60" s="173">
        <f>IF(CM15=0,0,IF(CM37=3,0,VALUE(CONCATENATE(Travail!CM26,Travail!CM37,Travail!CM48))))</f>
        <v>211</v>
      </c>
      <c r="CN60" s="173">
        <f>IF(CN15=0,0,IF(CN37=3,0,VALUE(CONCATENATE(Travail!CN26,Travail!CN37,Travail!CN48))))</f>
        <v>211</v>
      </c>
      <c r="CO60" s="173">
        <f>IF(CO15=0,0,IF(CO37=3,0,VALUE(CONCATENATE(Travail!CO26,Travail!CO37,Travail!CO48))))</f>
        <v>211</v>
      </c>
      <c r="CP60" s="173">
        <f>IF(CP15=0,0,IF(CP37=3,0,VALUE(CONCATENATE(Travail!CP26,Travail!CP37,Travail!CP48))))</f>
        <v>211</v>
      </c>
      <c r="CQ60" s="173">
        <f>IF(CQ15=0,0,IF(CQ37=3,0,VALUE(CONCATENATE(Travail!CQ26,Travail!CQ37,Travail!CQ48))))</f>
        <v>212</v>
      </c>
      <c r="CR60" s="173">
        <f>IF(CR15=0,0,IF(CR37=3,0,VALUE(CONCATENATE(Travail!CR26,Travail!CR37,Travail!CR48))))</f>
        <v>212</v>
      </c>
      <c r="CS60" s="173">
        <f>IF(CS15=0,0,IF(CS37=3,0,VALUE(CONCATENATE(Travail!CS26,Travail!CS37,Travail!CS48))))</f>
        <v>212</v>
      </c>
      <c r="CT60" s="173">
        <f>IF(CT15=0,0,IF(CT37=3,0,VALUE(CONCATENATE(Travail!CT26,Travail!CT37,Travail!CT48))))</f>
        <v>221</v>
      </c>
      <c r="CU60" s="173">
        <f>IF(CU15=0,0,IF(CU37=3,0,VALUE(CONCATENATE(Travail!CU26,Travail!CU37,Travail!CU48))))</f>
        <v>221</v>
      </c>
      <c r="CV60" s="173">
        <f>IF(CV15=0,0,IF(CV37=3,0,VALUE(CONCATENATE(Travail!CV26,Travail!CV37,Travail!CV48))))</f>
        <v>221</v>
      </c>
      <c r="CW60" s="173">
        <f>IF(CW15=0,0,IF(CW37=3,0,VALUE(CONCATENATE(Travail!CW26,Travail!CW37,Travail!CW48))))</f>
        <v>221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222</v>
      </c>
      <c r="AW61" s="173">
        <f>IF(AW16=0,0,IF(AW38=3,0,VALUE(CONCATENATE(Travail!AW27,Travail!AW38,Travail!AW49))))</f>
        <v>222</v>
      </c>
      <c r="AX61" s="173">
        <f>IF(AX16=0,0,IF(AX38=3,0,VALUE(CONCATENATE(Travail!AX27,Travail!AX38,Travail!AX49))))</f>
        <v>222</v>
      </c>
      <c r="AY61" s="173">
        <f>IF(AY16=0,0,IF(AY38=3,0,VALUE(CONCATENATE(Travail!AY27,Travail!AY38,Travail!AY49))))</f>
        <v>222</v>
      </c>
      <c r="AZ61" s="173">
        <f>IF(AZ16=0,0,IF(AZ38=3,0,VALUE(CONCATENATE(Travail!AZ27,Travail!AZ38,Travail!AZ49))))</f>
        <v>222</v>
      </c>
      <c r="BA61" s="173">
        <f>IF(BA16=0,0,IF(BA38=3,0,VALUE(CONCATENATE(Travail!BA27,Travail!BA38,Travail!BA49))))</f>
        <v>222</v>
      </c>
      <c r="BB61" s="173">
        <f>IF(BB16=0,0,IF(BB38=3,0,VALUE(CONCATENATE(Travail!BB27,Travail!BB38,Travail!BB49))))</f>
        <v>222</v>
      </c>
      <c r="BC61" s="173">
        <f>IF(BC16=0,0,IF(BC38=3,0,VALUE(CONCATENATE(Travail!BC27,Travail!BC38,Travail!BC49))))</f>
        <v>222</v>
      </c>
      <c r="BD61" s="173">
        <f>IF(BD16=0,0,IF(BD38=3,0,VALUE(CONCATENATE(Travail!BD27,Travail!BD38,Travail!BD49))))</f>
        <v>222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222</v>
      </c>
      <c r="BP61" s="173">
        <f>IF(BP16=0,0,IF(BP38=3,0,VALUE(CONCATENATE(Travail!BP27,Travail!BP38,Travail!BP49))))</f>
        <v>222</v>
      </c>
      <c r="BQ61" s="173">
        <f>IF(BQ16=0,0,IF(BQ38=3,0,VALUE(CONCATENATE(Travail!BQ27,Travail!BQ38,Travail!BQ49))))</f>
        <v>222</v>
      </c>
      <c r="BR61" s="173">
        <f>IF(BR16=0,0,IF(BR38=3,0,VALUE(CONCATENATE(Travail!BR27,Travail!BR38,Travail!BR49))))</f>
        <v>222</v>
      </c>
      <c r="BS61" s="173">
        <f>IF(BS16=0,0,IF(BS38=3,0,VALUE(CONCATENATE(Travail!BS27,Travail!BS38,Travail!BS49))))</f>
        <v>222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212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170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23</v>
      </c>
      <c r="AW74" s="173">
        <f t="shared" si="36"/>
        <v>23</v>
      </c>
      <c r="AX74" s="173">
        <f t="shared" si="36"/>
        <v>23</v>
      </c>
      <c r="AY74" s="173">
        <f t="shared" si="36"/>
        <v>23</v>
      </c>
      <c r="AZ74" s="173">
        <f t="shared" si="36"/>
        <v>23</v>
      </c>
      <c r="BA74" s="173">
        <f t="shared" si="36"/>
        <v>23</v>
      </c>
      <c r="BB74" s="173">
        <f t="shared" si="36"/>
        <v>23</v>
      </c>
      <c r="BC74" s="173">
        <f t="shared" si="36"/>
        <v>23</v>
      </c>
      <c r="BD74" s="173">
        <f t="shared" si="36"/>
        <v>23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23</v>
      </c>
      <c r="BP74" s="173">
        <f t="shared" si="36"/>
        <v>23</v>
      </c>
      <c r="BQ74" s="173">
        <f t="shared" si="36"/>
        <v>23</v>
      </c>
      <c r="BR74" s="173">
        <f t="shared" si="36"/>
        <v>23</v>
      </c>
      <c r="BS74" s="173">
        <f t="shared" si="36"/>
        <v>23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1416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1417</v>
      </c>
      <c r="F76" s="198">
        <f>IF(Protection!$AJ$8=0,0,SUM(G76:AD76))</f>
        <v>24.5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278.5</v>
      </c>
      <c r="G77" s="46">
        <f t="shared" ref="G77:AD77" si="43">+SUM(G69:G76)</f>
        <v>8.5</v>
      </c>
      <c r="H77" s="46">
        <f t="shared" si="43"/>
        <v>8.5</v>
      </c>
      <c r="I77" s="46">
        <f t="shared" si="43"/>
        <v>8.5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12</v>
      </c>
      <c r="S77" s="46">
        <f t="shared" si="43"/>
        <v>12</v>
      </c>
      <c r="T77" s="46">
        <f t="shared" si="43"/>
        <v>12</v>
      </c>
      <c r="U77" s="46">
        <f t="shared" si="43"/>
        <v>12</v>
      </c>
      <c r="V77" s="46">
        <f t="shared" si="43"/>
        <v>12</v>
      </c>
      <c r="W77" s="46">
        <f t="shared" si="43"/>
        <v>12</v>
      </c>
      <c r="X77" s="46">
        <f t="shared" si="43"/>
        <v>12</v>
      </c>
      <c r="Y77" s="46">
        <f t="shared" si="43"/>
        <v>13.5</v>
      </c>
      <c r="Z77" s="46">
        <f t="shared" si="43"/>
        <v>13.5</v>
      </c>
      <c r="AA77" s="46">
        <f t="shared" si="43"/>
        <v>8.5</v>
      </c>
      <c r="AB77" s="46">
        <f t="shared" si="43"/>
        <v>8.5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0.86</v>
      </c>
      <c r="C81" s="190">
        <f>[1]Protect!$B$10</f>
        <v>4</v>
      </c>
      <c r="D81" s="172"/>
      <c r="E81" s="172"/>
      <c r="F81" s="173">
        <f>ROUND(C81*B81*8,0)</f>
        <v>28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3</v>
      </c>
      <c r="AW81" s="173">
        <f t="shared" ref="AW81:BS81" si="44">COUNTIF(AW$71:AW$80,23)</f>
        <v>3</v>
      </c>
      <c r="AX81" s="173">
        <f t="shared" si="44"/>
        <v>3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1</v>
      </c>
      <c r="BP81" s="173">
        <f t="shared" si="44"/>
        <v>2</v>
      </c>
      <c r="BQ81" s="173">
        <f t="shared" si="44"/>
        <v>3</v>
      </c>
      <c r="BR81" s="173">
        <f t="shared" si="44"/>
        <v>3</v>
      </c>
      <c r="BS81" s="173">
        <f t="shared" si="44"/>
        <v>3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8.2210000000000001</v>
      </c>
      <c r="C83" s="190">
        <f>[1]Protect!$B$24+[1]Protect!$B$26</f>
        <v>0.33</v>
      </c>
      <c r="D83" s="172"/>
      <c r="E83" s="172"/>
      <c r="F83" s="173">
        <f>ROUND(B83*C83,1)</f>
        <v>2.7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1</v>
      </c>
      <c r="AW83" s="173">
        <f t="shared" ref="AW83:BS83" si="50">COUNTIF(AW$71:AW$80,22)</f>
        <v>1</v>
      </c>
      <c r="AX83" s="173">
        <f t="shared" si="50"/>
        <v>1</v>
      </c>
      <c r="AY83" s="173">
        <f t="shared" si="50"/>
        <v>2</v>
      </c>
      <c r="AZ83" s="173">
        <f t="shared" si="50"/>
        <v>2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2</v>
      </c>
      <c r="BP83" s="173">
        <f t="shared" si="50"/>
        <v>1</v>
      </c>
      <c r="BQ83" s="173">
        <f t="shared" si="50"/>
        <v>1</v>
      </c>
      <c r="BR83" s="173">
        <f t="shared" si="50"/>
        <v>1</v>
      </c>
      <c r="BS83" s="173">
        <f t="shared" si="50"/>
        <v>1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6.6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1.1666666666666665</v>
      </c>
      <c r="C86" s="176"/>
      <c r="D86" s="176"/>
      <c r="E86" s="176"/>
      <c r="F86" s="173">
        <f>B86*[1]Eco!$B$108*[1]Eco!$B$109</f>
        <v>279.99999999999994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1387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310.43478260869563</v>
      </c>
      <c r="AW90" s="173">
        <f t="shared" si="60"/>
        <v>307.33043478260868</v>
      </c>
      <c r="AX90" s="173">
        <f t="shared" si="60"/>
        <v>304.22608695652173</v>
      </c>
      <c r="AY90" s="173">
        <f t="shared" si="60"/>
        <v>302.67391304347825</v>
      </c>
      <c r="AZ90" s="173">
        <f t="shared" si="60"/>
        <v>301.12173913043478</v>
      </c>
      <c r="BA90" s="173">
        <f t="shared" si="60"/>
        <v>299.5695652173913</v>
      </c>
      <c r="BB90" s="173">
        <f t="shared" si="60"/>
        <v>298.01739130434783</v>
      </c>
      <c r="BC90" s="173">
        <f t="shared" si="60"/>
        <v>296.46521739130435</v>
      </c>
      <c r="BD90" s="173">
        <f t="shared" si="60"/>
        <v>293.3608695652174</v>
      </c>
      <c r="BE90" s="173">
        <f t="shared" si="60"/>
        <v>299.5695652173913</v>
      </c>
      <c r="BF90" s="173">
        <f t="shared" si="60"/>
        <v>299.5695652173913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299.5695652173913</v>
      </c>
      <c r="BO90" s="173">
        <f t="shared" si="60"/>
        <v>327.50869565217391</v>
      </c>
      <c r="BP90" s="173">
        <f t="shared" si="60"/>
        <v>327.50869565217391</v>
      </c>
      <c r="BQ90" s="173">
        <f t="shared" si="60"/>
        <v>310.43478260869563</v>
      </c>
      <c r="BR90" s="173">
        <f t="shared" si="60"/>
        <v>310.43478260869563</v>
      </c>
      <c r="BS90" s="173">
        <f t="shared" si="60"/>
        <v>310.43478260869563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15.96</v>
      </c>
      <c r="CC90" s="173">
        <f t="shared" si="62"/>
        <v>15.96</v>
      </c>
      <c r="CD90" s="173">
        <f t="shared" si="62"/>
        <v>15.96</v>
      </c>
      <c r="CE90" s="173">
        <f t="shared" si="62"/>
        <v>15.96</v>
      </c>
      <c r="CF90" s="173">
        <f t="shared" si="62"/>
        <v>15.96</v>
      </c>
      <c r="CG90" s="173">
        <f t="shared" si="62"/>
        <v>15.96</v>
      </c>
      <c r="CH90" s="173">
        <f t="shared" si="62"/>
        <v>15.96</v>
      </c>
      <c r="CI90" s="173">
        <f t="shared" si="62"/>
        <v>15.96</v>
      </c>
      <c r="CJ90" s="173">
        <f t="shared" si="62"/>
        <v>15.96</v>
      </c>
      <c r="CK90" s="173">
        <f t="shared" si="62"/>
        <v>15.96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15.12</v>
      </c>
      <c r="CU90" s="173">
        <f t="shared" si="62"/>
        <v>15.12</v>
      </c>
      <c r="CV90" s="173">
        <f t="shared" si="62"/>
        <v>15.96</v>
      </c>
      <c r="CW90" s="173">
        <f t="shared" si="62"/>
        <v>15.96</v>
      </c>
      <c r="CX90" s="173">
        <f t="shared" si="62"/>
        <v>15.96</v>
      </c>
      <c r="CY90" s="173">
        <f t="shared" si="62"/>
        <v>15.96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1593.1012391304353</v>
      </c>
      <c r="C91" s="5"/>
      <c r="D91" s="202">
        <f>B91/Troupeau!$B$17</f>
        <v>4.462468456947998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29.491304347826087</v>
      </c>
      <c r="AW91" s="173">
        <f t="shared" si="60"/>
        <v>29.491304347826087</v>
      </c>
      <c r="AX91" s="173">
        <f t="shared" si="60"/>
        <v>29.491304347826087</v>
      </c>
      <c r="AY91" s="173">
        <f t="shared" si="60"/>
        <v>29.491304347826087</v>
      </c>
      <c r="AZ91" s="173">
        <f t="shared" si="60"/>
        <v>29.491304347826087</v>
      </c>
      <c r="BA91" s="173">
        <f t="shared" si="60"/>
        <v>29.491304347826087</v>
      </c>
      <c r="BB91" s="173">
        <f t="shared" si="60"/>
        <v>29.491304347826087</v>
      </c>
      <c r="BC91" s="173">
        <f t="shared" si="60"/>
        <v>29.491304347826087</v>
      </c>
      <c r="BD91" s="173">
        <f t="shared" si="60"/>
        <v>29.491304347826087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29.491304347826087</v>
      </c>
      <c r="BP91" s="173">
        <f t="shared" si="60"/>
        <v>29.491304347826087</v>
      </c>
      <c r="BQ91" s="173">
        <f t="shared" si="60"/>
        <v>29.491304347826087</v>
      </c>
      <c r="BR91" s="173">
        <f t="shared" si="60"/>
        <v>29.491304347826087</v>
      </c>
      <c r="BS91" s="173">
        <f t="shared" si="60"/>
        <v>29.491304347826087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1.68</v>
      </c>
      <c r="CW91" s="173">
        <f t="shared" si="62"/>
        <v>0.84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685.65</v>
      </c>
      <c r="C92" s="5"/>
      <c r="D92" s="202">
        <f>IF(B92=0,0,B92/Troupeau!$C$17)</f>
        <v>32.65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80.713043478260872</v>
      </c>
      <c r="AW92" s="173">
        <f t="shared" si="60"/>
        <v>80.713043478260872</v>
      </c>
      <c r="AX92" s="173">
        <f t="shared" si="60"/>
        <v>80.713043478260872</v>
      </c>
      <c r="AY92" s="173">
        <f t="shared" si="60"/>
        <v>80.713043478260872</v>
      </c>
      <c r="AZ92" s="173">
        <f t="shared" si="60"/>
        <v>80.713043478260872</v>
      </c>
      <c r="BA92" s="173">
        <f t="shared" si="60"/>
        <v>80.713043478260872</v>
      </c>
      <c r="BB92" s="173">
        <f t="shared" si="60"/>
        <v>80.713043478260872</v>
      </c>
      <c r="BC92" s="173">
        <f t="shared" si="60"/>
        <v>80.713043478260872</v>
      </c>
      <c r="BD92" s="173">
        <f t="shared" si="60"/>
        <v>80.713043478260872</v>
      </c>
      <c r="BE92" s="173">
        <f t="shared" si="60"/>
        <v>80.713043478260872</v>
      </c>
      <c r="BF92" s="173">
        <f t="shared" si="60"/>
        <v>80.713043478260872</v>
      </c>
      <c r="BG92" s="173">
        <f t="shared" si="60"/>
        <v>80.713043478260872</v>
      </c>
      <c r="BH92" s="173">
        <f t="shared" si="60"/>
        <v>80.713043478260872</v>
      </c>
      <c r="BI92" s="173">
        <f t="shared" si="60"/>
        <v>80.713043478260872</v>
      </c>
      <c r="BJ92" s="173">
        <f t="shared" si="60"/>
        <v>80.713043478260872</v>
      </c>
      <c r="BK92" s="173">
        <f t="shared" si="60"/>
        <v>80.713043478260872</v>
      </c>
      <c r="BL92" s="173">
        <f t="shared" si="60"/>
        <v>80.713043478260872</v>
      </c>
      <c r="BM92" s="173">
        <f t="shared" si="60"/>
        <v>80.713043478260872</v>
      </c>
      <c r="BN92" s="173">
        <f t="shared" si="60"/>
        <v>80.713043478260872</v>
      </c>
      <c r="BO92" s="173">
        <f t="shared" si="60"/>
        <v>0</v>
      </c>
      <c r="BP92" s="173">
        <f t="shared" si="60"/>
        <v>0</v>
      </c>
      <c r="BQ92" s="173">
        <f t="shared" si="60"/>
        <v>80.713043478260872</v>
      </c>
      <c r="BR92" s="173">
        <f t="shared" si="60"/>
        <v>80.713043478260872</v>
      </c>
      <c r="BS92" s="173">
        <f t="shared" si="60"/>
        <v>80.713043478260872</v>
      </c>
      <c r="BY92" s="2"/>
      <c r="BZ92" s="189" t="str">
        <f t="shared" si="61"/>
        <v>genisses +1an</v>
      </c>
      <c r="CB92" s="173">
        <f t="shared" si="62"/>
        <v>10.08</v>
      </c>
      <c r="CC92" s="173">
        <f t="shared" si="62"/>
        <v>10.08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10.08</v>
      </c>
      <c r="CY92" s="173">
        <f t="shared" si="62"/>
        <v>10.08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9.3130434782608695</v>
      </c>
      <c r="AW93" s="173">
        <f t="shared" si="60"/>
        <v>9.3130434782608695</v>
      </c>
      <c r="AX93" s="173">
        <f t="shared" si="60"/>
        <v>9.3130434782608695</v>
      </c>
      <c r="AY93" s="173">
        <f t="shared" si="60"/>
        <v>9.3130434782608695</v>
      </c>
      <c r="AZ93" s="173">
        <f t="shared" si="60"/>
        <v>9.3130434782608695</v>
      </c>
      <c r="BA93" s="173">
        <f t="shared" si="60"/>
        <v>9.3130434782608695</v>
      </c>
      <c r="BB93" s="173">
        <f t="shared" si="60"/>
        <v>9.3130434782608695</v>
      </c>
      <c r="BC93" s="173">
        <f t="shared" si="60"/>
        <v>9.3130434782608695</v>
      </c>
      <c r="BD93" s="173">
        <f t="shared" si="60"/>
        <v>9.3130434782608695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9.3130434782608695</v>
      </c>
      <c r="BP93" s="173">
        <f t="shared" si="60"/>
        <v>9.3130434782608695</v>
      </c>
      <c r="BQ93" s="173">
        <f t="shared" si="60"/>
        <v>9.3130434782608695</v>
      </c>
      <c r="BR93" s="173">
        <f t="shared" si="60"/>
        <v>9.3130434782608695</v>
      </c>
      <c r="BS93" s="173">
        <f t="shared" si="60"/>
        <v>9.3130434782608695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2278.7512391304354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261.33333333333331</v>
      </c>
      <c r="C95" s="5"/>
      <c r="D95" s="202">
        <f>B95/Troupeau!$B$17</f>
        <v>0.73202614379084963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261.33333333333331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1595.7233333333334</v>
      </c>
      <c r="C99" s="5"/>
      <c r="D99" s="202">
        <f>B99/Troupeau!$B$17</f>
        <v>4.4698132586367878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429.95217391304345</v>
      </c>
      <c r="AW99" s="62">
        <f t="shared" ref="AW99:BS99" si="68">SUM(AW90:AW98)</f>
        <v>426.8478260869565</v>
      </c>
      <c r="AX99" s="62">
        <f t="shared" si="68"/>
        <v>423.74347826086955</v>
      </c>
      <c r="AY99" s="62">
        <f t="shared" si="68"/>
        <v>422.19130434782608</v>
      </c>
      <c r="AZ99" s="62">
        <f t="shared" si="68"/>
        <v>420.6391304347826</v>
      </c>
      <c r="BA99" s="62">
        <f t="shared" si="68"/>
        <v>419.08695652173913</v>
      </c>
      <c r="BB99" s="62">
        <f t="shared" si="68"/>
        <v>417.53478260869565</v>
      </c>
      <c r="BC99" s="62">
        <f t="shared" si="68"/>
        <v>415.98260869565217</v>
      </c>
      <c r="BD99" s="62">
        <f t="shared" si="68"/>
        <v>412.87826086956522</v>
      </c>
      <c r="BE99" s="62">
        <f t="shared" si="68"/>
        <v>380.28260869565219</v>
      </c>
      <c r="BF99" s="62">
        <f t="shared" si="68"/>
        <v>380.28260869565219</v>
      </c>
      <c r="BG99" s="62">
        <f t="shared" si="68"/>
        <v>80.713043478260872</v>
      </c>
      <c r="BH99" s="62">
        <f t="shared" si="68"/>
        <v>80.713043478260872</v>
      </c>
      <c r="BI99" s="62">
        <f t="shared" si="68"/>
        <v>80.713043478260872</v>
      </c>
      <c r="BJ99" s="62">
        <f t="shared" si="68"/>
        <v>80.713043478260872</v>
      </c>
      <c r="BK99" s="62">
        <f t="shared" si="68"/>
        <v>80.713043478260872</v>
      </c>
      <c r="BL99" s="62">
        <f t="shared" si="68"/>
        <v>80.713043478260872</v>
      </c>
      <c r="BM99" s="62">
        <f t="shared" si="68"/>
        <v>80.713043478260872</v>
      </c>
      <c r="BN99" s="62">
        <f t="shared" si="68"/>
        <v>380.28260869565219</v>
      </c>
      <c r="BO99" s="62">
        <f t="shared" si="68"/>
        <v>366.31304347826085</v>
      </c>
      <c r="BP99" s="62">
        <f t="shared" si="68"/>
        <v>366.31304347826085</v>
      </c>
      <c r="BQ99" s="62">
        <f t="shared" si="68"/>
        <v>429.95217391304345</v>
      </c>
      <c r="BR99" s="62">
        <f t="shared" si="68"/>
        <v>429.95217391304345</v>
      </c>
      <c r="BS99" s="62">
        <f t="shared" si="68"/>
        <v>429.95217391304345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2">
        <f>IF(B100=0,0,B100/Troupeau!$C$17)</f>
        <v>4.8571428571428568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8.5990434782608691</v>
      </c>
      <c r="AW100" s="173">
        <f t="shared" ref="AW100:BS100" si="71">IF($AT$2="OL",AW99/50,AW99/10)</f>
        <v>8.5369565217391301</v>
      </c>
      <c r="AX100" s="173">
        <f t="shared" si="71"/>
        <v>8.4748695652173911</v>
      </c>
      <c r="AY100" s="173">
        <f t="shared" si="71"/>
        <v>8.4438260869565216</v>
      </c>
      <c r="AZ100" s="173">
        <f t="shared" si="71"/>
        <v>8.4127826086956521</v>
      </c>
      <c r="BA100" s="173">
        <f t="shared" si="71"/>
        <v>8.3817391304347826</v>
      </c>
      <c r="BB100" s="173">
        <f t="shared" si="71"/>
        <v>8.3506956521739131</v>
      </c>
      <c r="BC100" s="173">
        <f t="shared" si="71"/>
        <v>8.3196521739130436</v>
      </c>
      <c r="BD100" s="173">
        <f t="shared" si="71"/>
        <v>8.2575652173913046</v>
      </c>
      <c r="BE100" s="173">
        <f t="shared" si="71"/>
        <v>7.605652173913044</v>
      </c>
      <c r="BF100" s="173">
        <f t="shared" si="71"/>
        <v>7.605652173913044</v>
      </c>
      <c r="BG100" s="173">
        <f t="shared" si="71"/>
        <v>1.6142608695652174</v>
      </c>
      <c r="BH100" s="173">
        <f t="shared" si="71"/>
        <v>1.6142608695652174</v>
      </c>
      <c r="BI100" s="173">
        <f t="shared" si="71"/>
        <v>1.6142608695652174</v>
      </c>
      <c r="BJ100" s="173">
        <f t="shared" si="71"/>
        <v>1.6142608695652174</v>
      </c>
      <c r="BK100" s="173">
        <f t="shared" si="71"/>
        <v>1.6142608695652174</v>
      </c>
      <c r="BL100" s="173">
        <f t="shared" si="71"/>
        <v>1.6142608695652174</v>
      </c>
      <c r="BM100" s="173">
        <f t="shared" si="71"/>
        <v>1.6142608695652174</v>
      </c>
      <c r="BN100" s="173">
        <f t="shared" si="71"/>
        <v>7.605652173913044</v>
      </c>
      <c r="BO100" s="173">
        <f t="shared" si="71"/>
        <v>7.3262608695652167</v>
      </c>
      <c r="BP100" s="173">
        <f t="shared" si="71"/>
        <v>7.3262608695652167</v>
      </c>
      <c r="BQ100" s="173">
        <f t="shared" si="71"/>
        <v>8.5990434782608691</v>
      </c>
      <c r="BR100" s="173">
        <f t="shared" si="71"/>
        <v>8.5990434782608691</v>
      </c>
      <c r="BS100" s="173">
        <f t="shared" si="71"/>
        <v>8.5990434782608691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7.5990434782608691</v>
      </c>
      <c r="AW101" s="173">
        <f t="shared" ref="AW101:BS101" si="74">IF(AW100&gt;1,AW100-1,0)</f>
        <v>7.5369565217391301</v>
      </c>
      <c r="AX101" s="173">
        <f t="shared" si="74"/>
        <v>7.4748695652173911</v>
      </c>
      <c r="AY101" s="173">
        <f t="shared" si="74"/>
        <v>7.4438260869565216</v>
      </c>
      <c r="AZ101" s="173">
        <f t="shared" si="74"/>
        <v>7.4127826086956521</v>
      </c>
      <c r="BA101" s="173">
        <f t="shared" si="74"/>
        <v>7.3817391304347826</v>
      </c>
      <c r="BB101" s="173">
        <f t="shared" si="74"/>
        <v>7.3506956521739131</v>
      </c>
      <c r="BC101" s="173">
        <f t="shared" si="74"/>
        <v>7.3196521739130436</v>
      </c>
      <c r="BD101" s="173">
        <f t="shared" si="74"/>
        <v>7.2575652173913046</v>
      </c>
      <c r="BE101" s="173">
        <f t="shared" si="74"/>
        <v>6.605652173913044</v>
      </c>
      <c r="BF101" s="173">
        <f t="shared" si="74"/>
        <v>6.605652173913044</v>
      </c>
      <c r="BG101" s="173">
        <f t="shared" si="74"/>
        <v>0.61426086956521742</v>
      </c>
      <c r="BH101" s="173">
        <f t="shared" si="74"/>
        <v>0.61426086956521742</v>
      </c>
      <c r="BI101" s="173">
        <f t="shared" si="74"/>
        <v>0.61426086956521742</v>
      </c>
      <c r="BJ101" s="173">
        <f t="shared" si="74"/>
        <v>0.61426086956521742</v>
      </c>
      <c r="BK101" s="173">
        <f t="shared" si="74"/>
        <v>0.61426086956521742</v>
      </c>
      <c r="BL101" s="173">
        <f t="shared" si="74"/>
        <v>0.61426086956521742</v>
      </c>
      <c r="BM101" s="173">
        <f t="shared" si="74"/>
        <v>0.61426086956521742</v>
      </c>
      <c r="BN101" s="173">
        <f t="shared" si="74"/>
        <v>6.605652173913044</v>
      </c>
      <c r="BO101" s="173">
        <f t="shared" si="74"/>
        <v>6.3262608695652167</v>
      </c>
      <c r="BP101" s="173">
        <f t="shared" si="74"/>
        <v>6.3262608695652167</v>
      </c>
      <c r="BQ101" s="173">
        <f t="shared" si="74"/>
        <v>7.5990434782608691</v>
      </c>
      <c r="BR101" s="173">
        <f t="shared" si="74"/>
        <v>7.5990434782608691</v>
      </c>
      <c r="BS101" s="173">
        <f t="shared" si="74"/>
        <v>7.5990434782608691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1697.7233333333334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55.298326086956521</v>
      </c>
      <c r="AW102" s="62">
        <f t="shared" ref="AW102:BS102" si="77">AW86+AW87*AW101</f>
        <v>55.189673913043478</v>
      </c>
      <c r="AX102" s="62">
        <f t="shared" si="77"/>
        <v>55.081021739130435</v>
      </c>
      <c r="AY102" s="62">
        <f t="shared" si="77"/>
        <v>55.026695652173913</v>
      </c>
      <c r="AZ102" s="62">
        <f t="shared" si="77"/>
        <v>54.972369565217392</v>
      </c>
      <c r="BA102" s="62">
        <f t="shared" si="77"/>
        <v>54.91804347826087</v>
      </c>
      <c r="BB102" s="62">
        <f t="shared" si="77"/>
        <v>54.863717391304348</v>
      </c>
      <c r="BC102" s="62">
        <f t="shared" si="77"/>
        <v>54.809391304347827</v>
      </c>
      <c r="BD102" s="62">
        <f t="shared" si="77"/>
        <v>54.700739130434783</v>
      </c>
      <c r="BE102" s="62">
        <f t="shared" si="77"/>
        <v>32.559891304347829</v>
      </c>
      <c r="BF102" s="62">
        <f t="shared" si="77"/>
        <v>32.559891304347829</v>
      </c>
      <c r="BG102" s="62">
        <f t="shared" si="77"/>
        <v>22.074956521739132</v>
      </c>
      <c r="BH102" s="62">
        <f t="shared" si="77"/>
        <v>22.074956521739132</v>
      </c>
      <c r="BI102" s="62">
        <f t="shared" si="77"/>
        <v>22.074956521739132</v>
      </c>
      <c r="BJ102" s="62">
        <f t="shared" si="77"/>
        <v>22.074956521739132</v>
      </c>
      <c r="BK102" s="62">
        <f t="shared" si="77"/>
        <v>22.074956521739132</v>
      </c>
      <c r="BL102" s="62">
        <f t="shared" si="77"/>
        <v>22.074956521739132</v>
      </c>
      <c r="BM102" s="62">
        <f t="shared" si="77"/>
        <v>22.074956521739132</v>
      </c>
      <c r="BN102" s="62">
        <f t="shared" si="77"/>
        <v>32.559891304347829</v>
      </c>
      <c r="BO102" s="62">
        <f t="shared" si="77"/>
        <v>53.070956521739127</v>
      </c>
      <c r="BP102" s="62">
        <f t="shared" si="77"/>
        <v>53.070956521739127</v>
      </c>
      <c r="BQ102" s="62">
        <f t="shared" si="77"/>
        <v>55.298326086956521</v>
      </c>
      <c r="BR102" s="62">
        <f t="shared" si="77"/>
        <v>55.298326086956521</v>
      </c>
      <c r="BS102" s="62">
        <f t="shared" si="77"/>
        <v>55.298326086956521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10</v>
      </c>
      <c r="BZ105" s="147" t="s">
        <v>853</v>
      </c>
      <c r="CA105" s="17">
        <f>VLOOKUP(CA59,[1]Trav!$B$12:$C$31,2)</f>
        <v>11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>
        <f>VLOOKUP(DD59,[1]Trav!$B$12:$C$31,2)</f>
        <v>9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3.5</v>
      </c>
      <c r="CM106" s="190">
        <f>IF(CM60&gt;0,HLOOKUP(CM60,[1]Trav!$C$11:$O$31,$CA$105),0)</f>
        <v>3.5</v>
      </c>
      <c r="CN106" s="190">
        <f>IF(CN60&gt;0,HLOOKUP(CN60,[1]Trav!$C$11:$O$31,$CA$105),0)</f>
        <v>3.5</v>
      </c>
      <c r="CO106" s="190">
        <f>IF(CO60&gt;0,HLOOKUP(CO60,[1]Trav!$C$11:$O$31,$CA$105),0)</f>
        <v>3.5</v>
      </c>
      <c r="CP106" s="190">
        <f>IF(CP60&gt;0,HLOOKUP(CP60,[1]Trav!$C$11:$O$31,$CA$105),0)</f>
        <v>3.5</v>
      </c>
      <c r="CQ106" s="190">
        <f>IF(CQ60&gt;0,HLOOKUP(CQ60,[1]Trav!$C$11:$O$31,$CA$105),0)</f>
        <v>5.25</v>
      </c>
      <c r="CR106" s="190">
        <f>IF(CR60&gt;0,HLOOKUP(CR60,[1]Trav!$C$11:$O$31,$CA$105),0)</f>
        <v>5.25</v>
      </c>
      <c r="CS106" s="190">
        <f>IF(CS60&gt;0,HLOOKUP(CS60,[1]Trav!$C$11:$O$31,$CA$105),0)</f>
        <v>5.25</v>
      </c>
      <c r="CT106" s="190">
        <f>IF(CT60&gt;0,HLOOKUP(CT60,[1]Trav!$C$11:$O$31,$CA$105),0)</f>
        <v>10.5</v>
      </c>
      <c r="CU106" s="190">
        <f>IF(CU60&gt;0,HLOOKUP(CU60,[1]Trav!$C$11:$O$31,$CA$105),0)</f>
        <v>10.5</v>
      </c>
      <c r="CV106" s="190">
        <f>IF(CV60&gt;0,HLOOKUP(CV60,[1]Trav!$C$11:$O$31,$CA$105),0)</f>
        <v>10.5</v>
      </c>
      <c r="CW106" s="190">
        <f>IF(CW60&gt;0,HLOOKUP(CW60,[1]Trav!$C$11:$O$31,$CA$105),0)</f>
        <v>10.5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21</v>
      </c>
      <c r="AW107" s="190">
        <f>IF(AW61&gt;0,HLOOKUP(AW61,[1]Trav!$C$11:$O$31,$AU$105),0)</f>
        <v>21</v>
      </c>
      <c r="AX107" s="190">
        <f>IF(AX61&gt;0,HLOOKUP(AX61,[1]Trav!$C$11:$O$31,$AU$105),0)</f>
        <v>21</v>
      </c>
      <c r="AY107" s="190">
        <f>IF(AY61&gt;0,HLOOKUP(AY61,[1]Trav!$C$11:$O$31,$AU$105),0)</f>
        <v>21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21</v>
      </c>
      <c r="BS107" s="190">
        <f>IF(BS61&gt;0,HLOOKUP(BS61,[1]Trav!$C$11:$O$31,$AU$105),0)</f>
        <v>21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5.25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367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170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170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28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9.3000000000000007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279.99999999999994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21</v>
      </c>
      <c r="AW117" s="173">
        <f t="shared" ref="AW117:BS117" si="83">SUM(AW106:AW115)</f>
        <v>21</v>
      </c>
      <c r="AX117" s="173">
        <f t="shared" si="83"/>
        <v>21</v>
      </c>
      <c r="AY117" s="173">
        <f t="shared" si="83"/>
        <v>35</v>
      </c>
      <c r="AZ117" s="173">
        <f t="shared" si="83"/>
        <v>35</v>
      </c>
      <c r="BA117" s="173">
        <f t="shared" si="83"/>
        <v>35</v>
      </c>
      <c r="BB117" s="173">
        <f t="shared" si="83"/>
        <v>35</v>
      </c>
      <c r="BC117" s="173">
        <f t="shared" si="83"/>
        <v>35</v>
      </c>
      <c r="BD117" s="173">
        <f t="shared" si="83"/>
        <v>35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35</v>
      </c>
      <c r="BP117" s="173">
        <f t="shared" si="83"/>
        <v>21</v>
      </c>
      <c r="BQ117" s="173">
        <f t="shared" si="83"/>
        <v>21</v>
      </c>
      <c r="BR117" s="173">
        <f t="shared" si="83"/>
        <v>21</v>
      </c>
      <c r="BS117" s="173">
        <f t="shared" si="83"/>
        <v>21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10.5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12.25</v>
      </c>
      <c r="CM117" s="173">
        <f t="shared" si="84"/>
        <v>12.25</v>
      </c>
      <c r="CN117" s="173">
        <f t="shared" si="84"/>
        <v>12.25</v>
      </c>
      <c r="CO117" s="173">
        <f t="shared" si="84"/>
        <v>12.25</v>
      </c>
      <c r="CP117" s="173">
        <f t="shared" si="84"/>
        <v>12.25</v>
      </c>
      <c r="CQ117" s="173">
        <f t="shared" si="84"/>
        <v>14</v>
      </c>
      <c r="CR117" s="173">
        <f t="shared" si="84"/>
        <v>14</v>
      </c>
      <c r="CS117" s="173">
        <f t="shared" si="84"/>
        <v>14</v>
      </c>
      <c r="CT117" s="173">
        <f t="shared" si="84"/>
        <v>19.25</v>
      </c>
      <c r="CU117" s="173">
        <f t="shared" si="84"/>
        <v>17.5</v>
      </c>
      <c r="CV117" s="173">
        <f t="shared" si="84"/>
        <v>24.5</v>
      </c>
      <c r="CW117" s="173">
        <f t="shared" si="84"/>
        <v>24.5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3450.1579057971021</v>
      </c>
      <c r="D118" s="202">
        <f>B118/Troupeau!$B$17</f>
        <v>9.6643078593756364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787.65</v>
      </c>
      <c r="D119" s="202">
        <f>IF(B119=0,0,B119/Troupeau!$C$17)</f>
        <v>37.507142857142853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4237.8079057971017</v>
      </c>
    </row>
    <row r="123" spans="1:132" x14ac:dyDescent="0.25">
      <c r="A123" s="2" t="s">
        <v>856</v>
      </c>
      <c r="B123" s="30">
        <f>B108</f>
        <v>367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194.5</v>
      </c>
    </row>
    <row r="126" spans="1:132" x14ac:dyDescent="0.25">
      <c r="A126" s="2" t="s">
        <v>872</v>
      </c>
      <c r="B126" s="30">
        <f>B114+B115+B116</f>
        <v>317.29999999999995</v>
      </c>
    </row>
    <row r="128" spans="1:132" x14ac:dyDescent="0.25">
      <c r="A128" s="2" t="s">
        <v>873</v>
      </c>
      <c r="B128" s="201">
        <f>SUM(B122:B126)</f>
        <v>5716.6079057971019</v>
      </c>
    </row>
    <row r="129" spans="1:2" x14ac:dyDescent="0.25">
      <c r="A129" s="2" t="s">
        <v>874</v>
      </c>
      <c r="B129" s="30">
        <f>IF(Scénario!K129=1,Travail!F77+Travail!F86,F86)</f>
        <v>558.5</v>
      </c>
    </row>
    <row r="130" spans="1:2" x14ac:dyDescent="0.25">
      <c r="A130" s="2" t="s">
        <v>875</v>
      </c>
      <c r="B130" s="201">
        <f>ROUND((B128-B129)/(Scénario!K4+Scénario!K6),0)</f>
        <v>3439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32" zoomScale="90" zoomScaleNormal="90" workbookViewId="0">
      <selection activeCell="S51" sqref="S5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47272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50297</v>
      </c>
      <c r="K5" s="173">
        <f>ROUND(B5*F5/1000,0)</f>
        <v>50297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47272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4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3</v>
      </c>
      <c r="AC7" s="30" t="str">
        <f>LEFT(Alim_Surf!B35,10)</f>
        <v>maïs grain</v>
      </c>
      <c r="AD7" s="30">
        <f>+Alim_Surf!K35</f>
        <v>9</v>
      </c>
      <c r="AE7" s="30"/>
      <c r="AF7" s="173">
        <f t="shared" ref="AF7:AF15" si="4">IF($AC7=AF$5,$AD7,0)</f>
        <v>9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28</v>
      </c>
      <c r="AC8" s="30" t="str">
        <f>LEFT(Alim_Surf!B36,10)</f>
        <v>landes lit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164</v>
      </c>
      <c r="C9" s="173">
        <f>Troupeau!C43</f>
        <v>7.5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12949</v>
      </c>
      <c r="K9" s="173">
        <f>ROUND(B9*F9,0)</f>
        <v>6388</v>
      </c>
      <c r="L9" s="173">
        <f t="shared" ref="L9:M16" si="5">ROUND(C9*G9,0)</f>
        <v>6561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82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5" si="6">ROUND((B10*F10+C10*G10+D10*H10+E10*I10),0)</f>
        <v>4938</v>
      </c>
      <c r="K10" s="173">
        <f t="shared" ref="K10:K15" si="7">ROUND(B10*F10,0)</f>
        <v>3194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47</v>
      </c>
      <c r="U11" s="173">
        <f>Troupeau!C37</f>
        <v>5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47</v>
      </c>
      <c r="C13" s="173">
        <f>U11-C14</f>
        <v>5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6386</v>
      </c>
      <c r="K13" s="173">
        <f t="shared" si="7"/>
        <v>1246</v>
      </c>
      <c r="L13" s="173">
        <f t="shared" si="5"/>
        <v>5140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4.5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119</v>
      </c>
      <c r="K15" s="173">
        <f t="shared" si="7"/>
        <v>119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4.5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>ROUND((B16*F16+C16*G16+D16*H16+E16*I16),0)</f>
        <v>-2250</v>
      </c>
      <c r="K16" s="173">
        <f>ROUND(B16*F16,0)</f>
        <v>-2250</v>
      </c>
      <c r="L16" s="173">
        <f>ROUND(C16*G16,0)</f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-5.6</v>
      </c>
      <c r="S16" s="5">
        <f>IF(R16&gt;0,R16,0)</f>
        <v>0</v>
      </c>
      <c r="T16" s="5">
        <f>IF(R16&lt;0,-R16,0)</f>
        <v>5.6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9</v>
      </c>
      <c r="AD18" s="173">
        <f>Alim_Surf!K13</f>
        <v>-5.6</v>
      </c>
      <c r="AE18" s="173">
        <f>IF(AD18&gt;=0,AD18,0)</f>
        <v>0</v>
      </c>
      <c r="AF18" s="173">
        <f>IF(AD18&gt;=0,AC18-AD18,AC18)</f>
        <v>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9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1800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21</v>
      </c>
      <c r="AC27" s="173">
        <f>AA27*AB27</f>
        <v>3486</v>
      </c>
      <c r="AD27" s="5" t="s">
        <v>945</v>
      </c>
      <c r="AE27" s="190">
        <f>[1]Eco!$F$9</f>
        <v>24.3</v>
      </c>
      <c r="AF27" s="214">
        <f>IF(X30&gt;500,500,X30)</f>
        <v>357</v>
      </c>
      <c r="AG27" s="214">
        <f>AE27*AF27</f>
        <v>8675.1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21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21</v>
      </c>
      <c r="W28" s="14" t="s">
        <v>473</v>
      </c>
      <c r="X28" s="173">
        <f>V28/$T$25</f>
        <v>21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8675.1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357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357</v>
      </c>
      <c r="W30" s="14" t="s">
        <v>954</v>
      </c>
      <c r="X30" s="173">
        <f>(V30+V31)/$T$25</f>
        <v>357</v>
      </c>
      <c r="AB30" s="40" t="s">
        <v>949</v>
      </c>
      <c r="AC30" s="62">
        <f>SUM(AC27:AC29)*T25</f>
        <v>3486</v>
      </c>
    </row>
    <row r="31" spans="1:143" s="5" customFormat="1" x14ac:dyDescent="0.25">
      <c r="B31" s="18"/>
      <c r="D31" s="18"/>
      <c r="H31" s="5" t="s">
        <v>1465</v>
      </c>
      <c r="I31" s="5">
        <f>SUM(J5:J30)</f>
        <v>74239</v>
      </c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1429</v>
      </c>
      <c r="AH31" s="284"/>
      <c r="AI31" s="284"/>
      <c r="AJ31" s="284" t="s">
        <v>1430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1431</v>
      </c>
      <c r="AH32" s="280" t="s">
        <v>1432</v>
      </c>
      <c r="AI32" s="280" t="s">
        <v>169</v>
      </c>
      <c r="AJ32" s="280" t="s">
        <v>1433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21</v>
      </c>
      <c r="AH33" s="280">
        <f>ROUND(AG33*0.24,0)</f>
        <v>5</v>
      </c>
      <c r="AI33" s="280">
        <f>AG33+AH33*1.5*0.6</f>
        <v>25.5</v>
      </c>
      <c r="AJ33" s="280"/>
    </row>
    <row r="34" spans="1:143" x14ac:dyDescent="0.25">
      <c r="A34" t="s">
        <v>959</v>
      </c>
      <c r="J34" s="173">
        <f>AC30</f>
        <v>3486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M2</v>
      </c>
      <c r="AE35" s="280"/>
      <c r="AF35" s="280" t="s">
        <v>472</v>
      </c>
      <c r="AG35" s="280">
        <f t="shared" si="18"/>
        <v>357</v>
      </c>
      <c r="AH35" s="280"/>
      <c r="AI35" s="280">
        <f>AG35*0.15</f>
        <v>53.55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M2O</v>
      </c>
      <c r="AA36" s="5"/>
      <c r="AB36" s="14" t="s">
        <v>966</v>
      </c>
      <c r="AC36" s="190">
        <f>VLOOKUP(Z36,[1]Eco!$A$36:$B$45,2)</f>
        <v>245</v>
      </c>
      <c r="AD36" s="5"/>
      <c r="AE36" s="280"/>
      <c r="AF36" s="282" t="s">
        <v>670</v>
      </c>
      <c r="AG36" s="280"/>
      <c r="AH36" s="280"/>
      <c r="AI36" s="280">
        <f>SUM(AI33:AI35)</f>
        <v>79.05</v>
      </c>
      <c r="AJ36" s="282">
        <f>ROUND(AI36/V46,2)</f>
        <v>0.74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8675.1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1434</v>
      </c>
      <c r="AF37" s="280"/>
      <c r="AG37" s="280"/>
      <c r="AH37" s="280"/>
      <c r="AI37" s="280"/>
      <c r="AJ37" s="284" t="s">
        <v>1435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SUM(Alim_Surf!E34:E43)-Alim_Surf!E36</f>
        <v>2</v>
      </c>
      <c r="U38" s="173">
        <v>1</v>
      </c>
      <c r="V38" s="173">
        <f>T38*U38</f>
        <v>2</v>
      </c>
      <c r="Y38" s="14" t="s">
        <v>975</v>
      </c>
      <c r="Z38" s="30">
        <f>V46</f>
        <v>107.44999999999999</v>
      </c>
      <c r="AA38" s="14" t="s">
        <v>976</v>
      </c>
      <c r="AB38" s="173">
        <f>IF(Z39&gt;25, 25,Z39)</f>
        <v>25</v>
      </c>
      <c r="AC38" s="173">
        <f>AC40+AC36</f>
        <v>315</v>
      </c>
      <c r="AD38" s="173">
        <f>AB38*AC38</f>
        <v>7875</v>
      </c>
      <c r="AE38" s="282">
        <f>IF($AJ$40=0,AB38*$AC$40,AD38*$AJ$40/100)</f>
        <v>7875</v>
      </c>
      <c r="AF38" s="280"/>
      <c r="AG38" s="280"/>
      <c r="AH38" s="280"/>
      <c r="AI38" s="285" t="s">
        <v>1436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22.5</v>
      </c>
      <c r="U39" s="173">
        <f>[1]Eco!$B$20/100</f>
        <v>1</v>
      </c>
      <c r="V39" s="173">
        <f t="shared" ref="V39:V41" si="20">T39*U39</f>
        <v>22.5</v>
      </c>
      <c r="Y39" s="14" t="s">
        <v>978</v>
      </c>
      <c r="Z39" s="30">
        <f>Z38/T25</f>
        <v>107.44999999999999</v>
      </c>
      <c r="AA39" s="14" t="s">
        <v>979</v>
      </c>
      <c r="AB39" s="173">
        <f>IF(Z39&gt;50,25,IF(Z39&gt;25,Z39-25,0))</f>
        <v>25</v>
      </c>
      <c r="AC39" s="173">
        <f>AC40+0.66*AC36</f>
        <v>231.70000000000002</v>
      </c>
      <c r="AD39" s="173">
        <f t="shared" ref="AD39:AD40" si="21">AB39*AC39</f>
        <v>5792.5</v>
      </c>
      <c r="AE39" s="282">
        <f>IF($AJ$40=0,AB39*$AC$40,AD39*$AJ$40/100)</f>
        <v>5792.5</v>
      </c>
      <c r="AF39" s="280"/>
      <c r="AG39" s="280"/>
      <c r="AH39" s="280"/>
      <c r="AI39" s="285" t="s">
        <v>1437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10.5</v>
      </c>
      <c r="U40" s="173">
        <f>[1]Eco!$B$21/100</f>
        <v>1</v>
      </c>
      <c r="V40" s="173">
        <f t="shared" si="20"/>
        <v>10.5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1438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5.6</v>
      </c>
      <c r="U41" s="173">
        <f>[1]Eco!$B$22/100</f>
        <v>0.6</v>
      </c>
      <c r="V41" s="173">
        <f t="shared" si="20"/>
        <v>3.36</v>
      </c>
      <c r="AC41" s="40" t="s">
        <v>949</v>
      </c>
      <c r="AD41" s="62">
        <f>SUM(AD38:AD40)*T25</f>
        <v>15417.5</v>
      </c>
      <c r="AE41" s="283">
        <f>ROUND(SUM(AE38:AE40)*T25,0)</f>
        <v>15418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107.44999999999999</v>
      </c>
      <c r="C42" s="215">
        <f>[1]Eco!$B$24</f>
        <v>97</v>
      </c>
      <c r="J42" s="173">
        <f>B42*C42</f>
        <v>10422.65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107.44999999999999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7199.15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38.36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15418</v>
      </c>
      <c r="K45" s="173"/>
      <c r="L45" s="173"/>
      <c r="M45" s="173"/>
      <c r="N45" s="173"/>
      <c r="O45" s="210"/>
      <c r="U45" s="14" t="s">
        <v>990</v>
      </c>
      <c r="V45" s="173">
        <f>S55</f>
        <v>69.089999999999989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7461.6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107.44999999999999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26.599999999999998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26.599999999999998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43.460869565217394</v>
      </c>
      <c r="AI47" s="221">
        <f>CdTrp1!C39</f>
        <v>43.02626086956522</v>
      </c>
      <c r="AJ47" s="221">
        <f>CdTrp1!D39</f>
        <v>42.591652173913047</v>
      </c>
      <c r="AK47" s="221">
        <f>CdTrp1!E39</f>
        <v>42.374347826086961</v>
      </c>
      <c r="AL47" s="221">
        <f>CdTrp1!F39</f>
        <v>42.157043478260874</v>
      </c>
      <c r="AM47" s="221">
        <f>CdTrp1!G39</f>
        <v>41.939739130434788</v>
      </c>
      <c r="AN47" s="221">
        <f>CdTrp1!H39</f>
        <v>41.722434782608701</v>
      </c>
      <c r="AO47" s="221">
        <f>CdTrp1!I39</f>
        <v>41.505130434782615</v>
      </c>
      <c r="AP47" s="221">
        <f>CdTrp1!J39</f>
        <v>41.070521739130442</v>
      </c>
      <c r="AQ47" s="221">
        <f>CdTrp1!K39</f>
        <v>41.939739130434788</v>
      </c>
      <c r="AR47" s="221">
        <f>CdTrp1!L39</f>
        <v>41.939739130434788</v>
      </c>
      <c r="AS47" s="221">
        <f>CdTrp1!M39</f>
        <v>41.939739130434788</v>
      </c>
      <c r="AT47" s="221">
        <f>CdTrp1!N39</f>
        <v>41.939739130434788</v>
      </c>
      <c r="AU47" s="221">
        <f>CdTrp1!O39</f>
        <v>41.939739130434788</v>
      </c>
      <c r="AV47" s="221">
        <f>CdTrp1!P39</f>
        <v>41.939739130434788</v>
      </c>
      <c r="AW47" s="221">
        <f>CdTrp1!Q39</f>
        <v>41.939739130434788</v>
      </c>
      <c r="AX47" s="221">
        <f>CdTrp1!R39</f>
        <v>41.939739130434788</v>
      </c>
      <c r="AY47" s="221">
        <f>CdTrp1!S39</f>
        <v>41.939739130434788</v>
      </c>
      <c r="AZ47" s="221">
        <f>CdTrp1!T39</f>
        <v>41.939739130434788</v>
      </c>
      <c r="BA47" s="221">
        <f>CdTrp1!U39</f>
        <v>45.851217391304353</v>
      </c>
      <c r="BB47" s="221">
        <f>CdTrp1!V39</f>
        <v>45.851217391304353</v>
      </c>
      <c r="BC47" s="221">
        <f>CdTrp1!W39</f>
        <v>43.460869565217394</v>
      </c>
      <c r="BD47" s="221">
        <f>CdTrp1!X39</f>
        <v>43.460869565217394</v>
      </c>
      <c r="BE47" s="221">
        <f>CdTrp1!Y39</f>
        <v>43.460869565217394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15.385440000000001</v>
      </c>
      <c r="BJ47" s="217">
        <f>CdTrp2!C39</f>
        <v>15.3216</v>
      </c>
      <c r="BK47" s="217">
        <f>CdTrp2!D39</f>
        <v>15.3216</v>
      </c>
      <c r="BL47" s="217">
        <f>CdTrp2!E39</f>
        <v>15.3216</v>
      </c>
      <c r="BM47" s="217">
        <f>CdTrp2!F39</f>
        <v>15.3216</v>
      </c>
      <c r="BN47" s="217">
        <f>CdTrp2!G39</f>
        <v>14.427840000000002</v>
      </c>
      <c r="BO47" s="217">
        <f>CdTrp2!H39</f>
        <v>14.140560000000001</v>
      </c>
      <c r="BP47" s="217">
        <f>CdTrp2!I39</f>
        <v>13.85328</v>
      </c>
      <c r="BQ47" s="217">
        <f>CdTrp2!J39</f>
        <v>13.566000000000001</v>
      </c>
      <c r="BR47" s="217">
        <f>CdTrp2!K39</f>
        <v>13.566000000000001</v>
      </c>
      <c r="BS47" s="217">
        <f>CdTrp2!L39</f>
        <v>13.566000000000001</v>
      </c>
      <c r="BT47" s="217">
        <f>CdTrp2!M39</f>
        <v>13.566000000000001</v>
      </c>
      <c r="BU47" s="217">
        <f>CdTrp2!N39</f>
        <v>13.566000000000001</v>
      </c>
      <c r="BV47" s="217">
        <f>CdTrp2!O39</f>
        <v>13.566000000000001</v>
      </c>
      <c r="BW47" s="217">
        <f>CdTrp2!P39</f>
        <v>13.566000000000001</v>
      </c>
      <c r="BX47" s="217">
        <f>CdTrp2!Q39</f>
        <v>13.566000000000001</v>
      </c>
      <c r="BY47" s="217">
        <f>CdTrp2!R39</f>
        <v>12.851999999999999</v>
      </c>
      <c r="BZ47" s="217">
        <f>CdTrp2!S39</f>
        <v>12.851999999999999</v>
      </c>
      <c r="CA47" s="217">
        <f>CdTrp2!T39</f>
        <v>13.214879999999999</v>
      </c>
      <c r="CB47" s="217">
        <f>CdTrp2!U39</f>
        <v>13.577760000000001</v>
      </c>
      <c r="CC47" s="217">
        <f>CdTrp2!V39</f>
        <v>14.715119999999999</v>
      </c>
      <c r="CD47" s="217">
        <f>CdTrp2!W39</f>
        <v>15.0024</v>
      </c>
      <c r="CE47" s="217">
        <f>CdTrp2!X39</f>
        <v>15.289680000000001</v>
      </c>
      <c r="CF47" s="217">
        <f>CdTrp2!Y39</f>
        <v>15.57696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129449.5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4.1287826086956523</v>
      </c>
      <c r="AI48" s="221">
        <f>CdTrp1!C40</f>
        <v>4.1287826086956523</v>
      </c>
      <c r="AJ48" s="221">
        <f>CdTrp1!D40</f>
        <v>4.1287826086956523</v>
      </c>
      <c r="AK48" s="221">
        <f>CdTrp1!E40</f>
        <v>4.1287826086956523</v>
      </c>
      <c r="AL48" s="221">
        <f>CdTrp1!F40</f>
        <v>4.1287826086956523</v>
      </c>
      <c r="AM48" s="221">
        <f>CdTrp1!G40</f>
        <v>4.1287826086956523</v>
      </c>
      <c r="AN48" s="221">
        <f>CdTrp1!H40</f>
        <v>4.1287826086956523</v>
      </c>
      <c r="AO48" s="221">
        <f>CdTrp1!I40</f>
        <v>4.1287826086956523</v>
      </c>
      <c r="AP48" s="221">
        <f>CdTrp1!J40</f>
        <v>4.1287826086956523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4.1287826086956523</v>
      </c>
      <c r="BB48" s="221">
        <f>CdTrp1!V40</f>
        <v>4.1287826086956523</v>
      </c>
      <c r="BC48" s="221">
        <f>CdTrp1!W40</f>
        <v>4.1287826086956523</v>
      </c>
      <c r="BD48" s="221">
        <f>CdTrp1!X40</f>
        <v>4.1287826086956523</v>
      </c>
      <c r="BE48" s="221">
        <f>CdTrp1!Y40</f>
        <v>4.1287826086956523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0.58799999999999997</v>
      </c>
      <c r="BO48" s="217">
        <f>CdTrp2!H40</f>
        <v>1.1759999999999999</v>
      </c>
      <c r="BP48" s="217">
        <f>CdTrp2!I40</f>
        <v>1.7639999999999998</v>
      </c>
      <c r="BQ48" s="217">
        <f>CdTrp2!J40</f>
        <v>1.7639999999999998</v>
      </c>
      <c r="BR48" s="217">
        <f>CdTrp2!K40</f>
        <v>1.7639999999999998</v>
      </c>
      <c r="BS48" s="217">
        <f>CdTrp2!L40</f>
        <v>1.7639999999999998</v>
      </c>
      <c r="BT48" s="217">
        <f>CdTrp2!M40</f>
        <v>1.7639999999999998</v>
      </c>
      <c r="BU48" s="217">
        <f>CdTrp2!N40</f>
        <v>1.7639999999999998</v>
      </c>
      <c r="BV48" s="217">
        <f>CdTrp2!O40</f>
        <v>1.7639999999999998</v>
      </c>
      <c r="BW48" s="217">
        <f>CdTrp2!P40</f>
        <v>1.7639999999999998</v>
      </c>
      <c r="BX48" s="217">
        <f>CdTrp2!Q40</f>
        <v>1.7639999999999998</v>
      </c>
      <c r="BY48" s="217">
        <f>CdTrp2!R40</f>
        <v>1.7639999999999998</v>
      </c>
      <c r="BZ48" s="217">
        <f>CdTrp2!S40</f>
        <v>1.7639999999999998</v>
      </c>
      <c r="CA48" s="217">
        <f>CdTrp2!T40</f>
        <v>1.47</v>
      </c>
      <c r="CB48" s="217">
        <f>CdTrp2!U40</f>
        <v>1.47</v>
      </c>
      <c r="CC48" s="217">
        <f>CdTrp2!V40</f>
        <v>0.58799999999999997</v>
      </c>
      <c r="CD48" s="217">
        <f>CdTrp2!W40</f>
        <v>0.29399999999999998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65.016000000000005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65.016000000000005</v>
      </c>
      <c r="AD49" s="217"/>
      <c r="AE49" s="217"/>
      <c r="AF49" s="217"/>
      <c r="AG49" s="272" t="str">
        <f>CdTrp1!A41</f>
        <v>agnelles</v>
      </c>
      <c r="AH49" s="221">
        <f>CdTrp1!B41</f>
        <v>2.2599652173913043</v>
      </c>
      <c r="AI49" s="221">
        <f>CdTrp1!C41</f>
        <v>2.2599652173913043</v>
      </c>
      <c r="AJ49" s="221">
        <f>CdTrp1!D41</f>
        <v>2.2599652173913043</v>
      </c>
      <c r="AK49" s="221">
        <f>CdTrp1!E41</f>
        <v>2.2599652173913043</v>
      </c>
      <c r="AL49" s="221">
        <f>CdTrp1!F41</f>
        <v>2.2599652173913043</v>
      </c>
      <c r="AM49" s="221">
        <f>CdTrp1!G41</f>
        <v>2.2599652173913043</v>
      </c>
      <c r="AN49" s="221">
        <f>CdTrp1!H41</f>
        <v>2.2599652173913043</v>
      </c>
      <c r="AO49" s="221">
        <f>CdTrp1!I41</f>
        <v>2.2599652173913043</v>
      </c>
      <c r="AP49" s="221">
        <f>CdTrp1!J41</f>
        <v>5.6499130434782616</v>
      </c>
      <c r="AQ49" s="221">
        <f>CdTrp1!K41</f>
        <v>5.6499130434782616</v>
      </c>
      <c r="AR49" s="221">
        <f>CdTrp1!L41</f>
        <v>5.6499130434782616</v>
      </c>
      <c r="AS49" s="221">
        <f>CdTrp1!M41</f>
        <v>5.6499130434782616</v>
      </c>
      <c r="AT49" s="221">
        <f>CdTrp1!N41</f>
        <v>5.6499130434782616</v>
      </c>
      <c r="AU49" s="221">
        <f>CdTrp1!O41</f>
        <v>5.6499130434782616</v>
      </c>
      <c r="AV49" s="221">
        <f>CdTrp1!P41</f>
        <v>5.6499130434782616</v>
      </c>
      <c r="AW49" s="221">
        <f>CdTrp1!Q41</f>
        <v>5.6499130434782616</v>
      </c>
      <c r="AX49" s="221">
        <f>CdTrp1!R41</f>
        <v>5.6499130434782616</v>
      </c>
      <c r="AY49" s="221">
        <f>CdTrp1!S41</f>
        <v>5.6499130434782616</v>
      </c>
      <c r="AZ49" s="221">
        <f>CdTrp1!T41</f>
        <v>5.6499130434782616</v>
      </c>
      <c r="BA49" s="221">
        <f>CdTrp1!U41</f>
        <v>0</v>
      </c>
      <c r="BB49" s="221">
        <f>CdTrp1!V41</f>
        <v>0</v>
      </c>
      <c r="BC49" s="221">
        <f>CdTrp1!W41</f>
        <v>2.2599652173913043</v>
      </c>
      <c r="BD49" s="221">
        <f>CdTrp1!X41</f>
        <v>2.2599652173913043</v>
      </c>
      <c r="BE49" s="221">
        <f>CdTrp1!Y41</f>
        <v>2.2599652173913043</v>
      </c>
      <c r="BF49" s="217"/>
      <c r="BG49" s="218"/>
      <c r="BH49" s="272" t="str">
        <f>CdTrp2!A41</f>
        <v>genisses +1an</v>
      </c>
      <c r="BI49" s="217">
        <f>CdTrp2!B41</f>
        <v>7.0559999999999992</v>
      </c>
      <c r="BJ49" s="217">
        <f>CdTrp2!C41</f>
        <v>7.0559999999999992</v>
      </c>
      <c r="BK49" s="217">
        <f>CdTrp2!D41</f>
        <v>7.0559999999999992</v>
      </c>
      <c r="BL49" s="217">
        <f>CdTrp2!E41</f>
        <v>7.0559999999999992</v>
      </c>
      <c r="BM49" s="217">
        <f>CdTrp2!F41</f>
        <v>7.0559999999999992</v>
      </c>
      <c r="BN49" s="217">
        <f>CdTrp2!G41</f>
        <v>7.0559999999999992</v>
      </c>
      <c r="BO49" s="217">
        <f>CdTrp2!H41</f>
        <v>7.0559999999999992</v>
      </c>
      <c r="BP49" s="217">
        <f>CdTrp2!I41</f>
        <v>7.0559999999999992</v>
      </c>
      <c r="BQ49" s="217">
        <f>CdTrp2!J41</f>
        <v>7.0559999999999992</v>
      </c>
      <c r="BR49" s="217">
        <f>CdTrp2!K41</f>
        <v>7.0559999999999992</v>
      </c>
      <c r="BS49" s="217">
        <f>CdTrp2!L41</f>
        <v>7.0559999999999992</v>
      </c>
      <c r="BT49" s="217">
        <f>CdTrp2!M41</f>
        <v>7.0559999999999992</v>
      </c>
      <c r="BU49" s="217">
        <f>CdTrp2!N41</f>
        <v>7.0559999999999992</v>
      </c>
      <c r="BV49" s="217">
        <f>CdTrp2!O41</f>
        <v>7.0559999999999992</v>
      </c>
      <c r="BW49" s="217">
        <f>CdTrp2!P41</f>
        <v>7.0559999999999992</v>
      </c>
      <c r="BX49" s="217">
        <f>CdTrp2!Q41</f>
        <v>7.0559999999999992</v>
      </c>
      <c r="BY49" s="217">
        <f>CdTrp2!R41</f>
        <v>7.0559999999999992</v>
      </c>
      <c r="BZ49" s="217">
        <f>CdTrp2!S41</f>
        <v>7.0559999999999992</v>
      </c>
      <c r="CA49" s="217">
        <f>CdTrp2!T41</f>
        <v>7.0559999999999992</v>
      </c>
      <c r="CB49" s="217">
        <f>CdTrp2!U41</f>
        <v>7.0559999999999992</v>
      </c>
      <c r="CC49" s="217">
        <f>CdTrp2!V41</f>
        <v>7.0559999999999992</v>
      </c>
      <c r="CD49" s="217">
        <f>CdTrp2!W41</f>
        <v>7.0559999999999992</v>
      </c>
      <c r="CE49" s="217">
        <f>CdTrp2!X41</f>
        <v>7.0559999999999992</v>
      </c>
      <c r="CF49" s="217">
        <f>CdTrp2!Y41</f>
        <v>7.0559999999999992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147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1.3038260869565219</v>
      </c>
      <c r="AI50" s="221">
        <f>CdTrp1!C42</f>
        <v>1.3038260869565219</v>
      </c>
      <c r="AJ50" s="221">
        <f>CdTrp1!D42</f>
        <v>1.3038260869565219</v>
      </c>
      <c r="AK50" s="221">
        <f>CdTrp1!E42</f>
        <v>1.3038260869565219</v>
      </c>
      <c r="AL50" s="221">
        <f>CdTrp1!F42</f>
        <v>1.3038260869565219</v>
      </c>
      <c r="AM50" s="221">
        <f>CdTrp1!G42</f>
        <v>1.3038260869565219</v>
      </c>
      <c r="AN50" s="221">
        <f>CdTrp1!H42</f>
        <v>1.3038260869565219</v>
      </c>
      <c r="AO50" s="221">
        <f>CdTrp1!I42</f>
        <v>1.3038260869565219</v>
      </c>
      <c r="AP50" s="221">
        <f>CdTrp1!J42</f>
        <v>1.3038260869565219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1.3038260869565219</v>
      </c>
      <c r="BB50" s="221">
        <f>CdTrp1!V42</f>
        <v>1.3038260869565219</v>
      </c>
      <c r="BC50" s="221">
        <f>CdTrp1!W42</f>
        <v>1.3038260869565219</v>
      </c>
      <c r="BD50" s="221">
        <f>CdTrp1!X42</f>
        <v>1.3038260869565219</v>
      </c>
      <c r="BE50" s="221">
        <f>CdTrp1!Y42</f>
        <v>1.3038260869565219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71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147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69.089999999999989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14.6</v>
      </c>
      <c r="E82" s="173">
        <f t="shared" ref="E82:F97" si="33">BZ89+CD89</f>
        <v>0</v>
      </c>
      <c r="F82" s="173">
        <f t="shared" si="33"/>
        <v>0</v>
      </c>
      <c r="J82" s="173">
        <f>SUM(K82:M82)</f>
        <v>2920</v>
      </c>
      <c r="K82" s="173">
        <f>$C82*D82</f>
        <v>2920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14.6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23.6</v>
      </c>
      <c r="E92" s="173">
        <f t="shared" si="33"/>
        <v>0</v>
      </c>
      <c r="F92" s="173">
        <f t="shared" si="33"/>
        <v>0</v>
      </c>
      <c r="J92" s="173">
        <f t="shared" si="36"/>
        <v>9817.6</v>
      </c>
      <c r="K92" s="173">
        <f t="shared" si="37"/>
        <v>9817.6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4.3</v>
      </c>
      <c r="E94" s="173">
        <f t="shared" si="33"/>
        <v>0</v>
      </c>
      <c r="F94" s="173">
        <f t="shared" si="33"/>
        <v>0</v>
      </c>
      <c r="J94" s="173">
        <f t="shared" si="36"/>
        <v>1324.3999999999999</v>
      </c>
      <c r="K94" s="173">
        <f t="shared" si="37"/>
        <v>1324.3999999999999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11.5</v>
      </c>
      <c r="E95" s="173">
        <f t="shared" si="33"/>
        <v>0</v>
      </c>
      <c r="F95" s="173">
        <f t="shared" si="33"/>
        <v>0</v>
      </c>
      <c r="J95" s="173">
        <f t="shared" si="36"/>
        <v>3105</v>
      </c>
      <c r="K95" s="173">
        <f t="shared" si="37"/>
        <v>3105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6</v>
      </c>
      <c r="F96" s="173">
        <f t="shared" si="33"/>
        <v>0</v>
      </c>
      <c r="J96" s="173">
        <f t="shared" si="36"/>
        <v>1710</v>
      </c>
      <c r="K96" s="173">
        <f t="shared" si="37"/>
        <v>0</v>
      </c>
      <c r="L96" s="173">
        <f t="shared" si="34"/>
        <v>1710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2.6</v>
      </c>
      <c r="F97" s="173">
        <f t="shared" si="33"/>
        <v>0</v>
      </c>
      <c r="J97" s="173">
        <f t="shared" si="36"/>
        <v>1099.8</v>
      </c>
      <c r="K97" s="173">
        <f t="shared" si="37"/>
        <v>0</v>
      </c>
      <c r="L97" s="173">
        <f t="shared" si="34"/>
        <v>1099.8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23.6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4.3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11.5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6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2.6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5758</v>
      </c>
      <c r="K110" s="177">
        <f t="shared" ref="K110:K115" si="55">ROUND(T132*U132,0)</f>
        <v>3427</v>
      </c>
      <c r="L110" s="177">
        <f>ROUND(V132*W132,0)</f>
        <v>2331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17167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11271</v>
      </c>
      <c r="K111" s="177">
        <f t="shared" si="55"/>
        <v>8058</v>
      </c>
      <c r="L111" s="177">
        <f>ROUND(V133*W133,0)</f>
        <v>3213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2809.8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1705</v>
      </c>
      <c r="K113" s="177">
        <f t="shared" si="55"/>
        <v>1285</v>
      </c>
      <c r="L113" s="177">
        <f>ROUND(V135*W135,0)</f>
        <v>420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1512</v>
      </c>
      <c r="K114" s="177">
        <f t="shared" si="55"/>
        <v>1428</v>
      </c>
      <c r="L114" s="177">
        <f>ROUND(U136*V136,0)</f>
        <v>84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31365</v>
      </c>
      <c r="L116" s="62">
        <f t="shared" ref="L116:M116" si="57">SUM(L110:L115)+SUM(L82:L106)</f>
        <v>8857.7999999999993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52.792879999999997</v>
      </c>
      <c r="C118" s="190">
        <f>IF(Scénario!$K$12="BV",[1]Eco!$B$78,IF(Scénario!$K$12="BL",[1]Eco!$B$77,[1]Eco!$B$76))</f>
        <v>223</v>
      </c>
      <c r="J118" s="173">
        <f>B118*C118</f>
        <v>11772.812239999999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53.915000000000006</v>
      </c>
      <c r="C119" s="190">
        <f>[1]Eco!$B$79</f>
        <v>80</v>
      </c>
      <c r="J119" s="173">
        <f>B119*C119</f>
        <v>4313.2000000000007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4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maïs grain</v>
      </c>
      <c r="B123" s="173">
        <f>Alim_Surf!D35</f>
        <v>3</v>
      </c>
      <c r="C123" s="173">
        <f>Alim_Surf!E35</f>
        <v>1</v>
      </c>
      <c r="D123" s="190">
        <f>IF(B123=0,0,VLOOKUP(A123,[1]Anx!$A$212:$CO$218,3+Troupeau!$J$17))</f>
        <v>376</v>
      </c>
      <c r="J123" s="173">
        <f t="shared" ref="J123:J131" si="58">C123*D123</f>
        <v>376</v>
      </c>
      <c r="K123" s="172"/>
      <c r="L123" s="172"/>
      <c r="M123" s="172"/>
      <c r="N123" s="172"/>
      <c r="S123" s="14" t="s">
        <v>1031</v>
      </c>
      <c r="T123" s="171">
        <f>Troupeau!J17</f>
        <v>56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landes lit</v>
      </c>
      <c r="B124" s="173">
        <f>Alim_Surf!D36</f>
        <v>28</v>
      </c>
      <c r="C124" s="173">
        <f>Alim_Surf!E36</f>
        <v>3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47.27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56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55.03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164</v>
      </c>
      <c r="AG126" s="30">
        <f>C9</f>
        <v>7.5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1552.5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82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11</v>
      </c>
      <c r="D132" s="190">
        <f>HLOOKUP(Troupeau!$J$17,[1]Anx!$D$170:$CN$186,'Calcul éco'!O132)</f>
        <v>36</v>
      </c>
      <c r="E132" s="236"/>
      <c r="F132" s="236"/>
      <c r="G132" s="18"/>
      <c r="J132" s="173">
        <f>D132*C132</f>
        <v>396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357</v>
      </c>
      <c r="U132" s="190">
        <f>HLOOKUP($T$123,[1]Anx!$D$170:$CN$1177,$AB132)</f>
        <v>9.6</v>
      </c>
      <c r="V132" s="171">
        <f>$U$127</f>
        <v>21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6.4</v>
      </c>
      <c r="D133" s="190">
        <f>HLOOKUP(Troupeau!$J$17,[1]Anx!$D$170:$CN$186,'Calcul éco'!O133)</f>
        <v>62.16</v>
      </c>
      <c r="E133" s="236"/>
      <c r="F133" s="236"/>
      <c r="G133" s="18"/>
      <c r="J133" s="173">
        <f t="shared" ref="J133:J138" si="61">D133*C133</f>
        <v>397.82400000000001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357</v>
      </c>
      <c r="U133" s="190">
        <f>HLOOKUP($T$123,[1]Anx!$D$170:$CN$1177,$AB133)</f>
        <v>22.571999999999999</v>
      </c>
      <c r="V133" s="171">
        <f>$U$127</f>
        <v>21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6.6</v>
      </c>
      <c r="D134" s="190">
        <f>HLOOKUP(Troupeau!$J$17,[1]Anx!$D$170:$CN$186,'Calcul éco'!O134)</f>
        <v>66.84</v>
      </c>
      <c r="E134" s="236"/>
      <c r="F134" s="236"/>
      <c r="G134" s="18"/>
      <c r="J134" s="173">
        <f t="shared" si="61"/>
        <v>441.14400000000001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357</v>
      </c>
      <c r="U135" s="190">
        <f>HLOOKUP($T$123,[1]Anx!$D$170:$CN$1177,$AB135)</f>
        <v>3.5999999999999996</v>
      </c>
      <c r="V135" s="171">
        <f>$U$127</f>
        <v>21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118.55999999999999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357</v>
      </c>
      <c r="U136" s="190">
        <f>HLOOKUP($T$123,[1]Anx!$D$170:$CN$1177,$AB136)</f>
        <v>4</v>
      </c>
      <c r="V136" s="171">
        <f>$U$127</f>
        <v>21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9</v>
      </c>
      <c r="D137" s="190">
        <f>HLOOKUP(Troupeau!$J$17,[1]Anx!$D$170:$CN$186,'Calcul éco'!O137)</f>
        <v>150.24</v>
      </c>
      <c r="E137" s="5"/>
      <c r="F137" s="5"/>
      <c r="G137" s="18"/>
      <c r="J137" s="173">
        <f t="shared" si="61"/>
        <v>1352.16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82</v>
      </c>
      <c r="U137" s="190">
        <f>HLOOKUP($T$123,[1]Anx!$D$170:$CN$1177,$AB137)</f>
        <v>0</v>
      </c>
      <c r="V137" s="171">
        <f>Troupeau!C22</f>
        <v>5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234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5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5426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806.55666666666662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4.5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65968.496906666667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5502.5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35</v>
      </c>
      <c r="C149" s="190">
        <f>HLOOKUP(Troupeau!J$17,[1]Anx!$D$170:$CN$220,'Calcul éco'!O149)</f>
        <v>86.5</v>
      </c>
      <c r="D149" s="5"/>
      <c r="G149" s="171"/>
      <c r="J149" s="173">
        <f t="shared" ref="J149:J154" si="67">B149*C149</f>
        <v>3027.5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HLOOKUP(Troupeau!J$17,[1]Anx!$D$170:$CN$220,'Calcul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HLOOKUP(Troupeau!J$17,[1]Anx!$D$170:$CN$220,'Calcul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HLOOKUP(Troupeau!J$17,[1]Anx!$D$170:$CN$220,'Calcul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HLOOKUP(Troupeau!J$17,[1]Anx!$D$170:$CN$220,'Calcul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22</v>
      </c>
      <c r="X153" t="s">
        <v>52</v>
      </c>
      <c r="Y153" s="173">
        <f>W153-Scénario!K28</f>
        <v>-8</v>
      </c>
      <c r="Z153" s="173">
        <f>Y153-Y156</f>
        <v>-8</v>
      </c>
    </row>
    <row r="154" spans="1:39" x14ac:dyDescent="0.25">
      <c r="A154" t="s">
        <v>1076</v>
      </c>
      <c r="B154" s="173">
        <f>Scénario!K48</f>
        <v>35</v>
      </c>
      <c r="C154" s="190">
        <f>HLOOKUP(Troupeau!J$17,[1]Anx!$D$170:$CN$220,'Calcul éco'!O154)</f>
        <v>387.59999999999997</v>
      </c>
      <c r="D154" s="5"/>
      <c r="G154" s="171"/>
      <c r="J154" s="173">
        <f t="shared" si="67"/>
        <v>13565.999999999998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15.6</v>
      </c>
      <c r="X154" t="s">
        <v>52</v>
      </c>
      <c r="Y154" s="173">
        <f>W154-Scénario!K29</f>
        <v>1.5999999999999996</v>
      </c>
      <c r="Z154" s="173">
        <f>Y154</f>
        <v>1.5999999999999996</v>
      </c>
    </row>
    <row r="155" spans="1:39" x14ac:dyDescent="0.25">
      <c r="A155" s="17" t="s">
        <v>1078</v>
      </c>
      <c r="B155" s="239">
        <f>B154</f>
        <v>35</v>
      </c>
      <c r="C155" s="190">
        <f>HLOOKUP(Troupeau!J$17,[1]Anx!$D$170:$CN$220,'Calcul éco'!O155)</f>
        <v>75</v>
      </c>
      <c r="D155" s="86"/>
      <c r="E155" s="17"/>
      <c r="G155" s="171"/>
      <c r="H155" s="17"/>
      <c r="I155" s="239">
        <f>B155*C155</f>
        <v>2625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-8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-289.60000000000002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1.5999999999999996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47.999999999999986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310</v>
      </c>
      <c r="S164" s="173">
        <f>Alim_Surf!R7</f>
        <v>5.4</v>
      </c>
      <c r="T164" s="173">
        <f>VLOOKUP($R164,[1]MEP!$A$4:$M$300,13)</f>
        <v>1</v>
      </c>
      <c r="U164" s="173">
        <f>IF($T164&gt;0,$S164,0)</f>
        <v>5.4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5.4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5.4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72">IF($T165&gt;0,$S165,0)</f>
        <v>3</v>
      </c>
      <c r="V165" s="173">
        <f t="shared" ref="V165:V207" si="73">IF($T165&gt;1,$S165,0)</f>
        <v>3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3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3</v>
      </c>
      <c r="AN165" s="32" t="s">
        <v>659</v>
      </c>
      <c r="AO165" s="173">
        <f>SUM(AD164:AD183)</f>
        <v>18.5</v>
      </c>
    </row>
    <row r="166" spans="1:41" x14ac:dyDescent="0.25">
      <c r="A166" s="5" t="s">
        <v>1422</v>
      </c>
      <c r="B166" s="30">
        <f>T246*[1]Eco!$B$108*[1]Eco!$B$109</f>
        <v>279.99999999999994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2976.3999999999996</v>
      </c>
      <c r="K166" s="173"/>
      <c r="L166" s="173"/>
      <c r="M166" s="173"/>
      <c r="N166" s="173"/>
      <c r="Q166">
        <v>3</v>
      </c>
      <c r="R166" s="173">
        <f>Alim_Surf!Q9</f>
        <v>228</v>
      </c>
      <c r="S166" s="173">
        <f>Alim_Surf!R9</f>
        <v>8.5</v>
      </c>
      <c r="T166" s="173">
        <f>VLOOKUP(R166,[1]MEP!$A$4:$M$300,13)</f>
        <v>0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8.5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8.5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4</v>
      </c>
    </row>
    <row r="167" spans="1:41" x14ac:dyDescent="0.25">
      <c r="A167" s="5" t="s">
        <v>1423</v>
      </c>
      <c r="B167" s="30">
        <f>IF(Scénario!K129=1,SUM(Travail!F69:F75)+Travail!F81+Travail!F83+Travail!F84,0)</f>
        <v>291.3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3096.5190000000002</v>
      </c>
      <c r="K167" s="173"/>
      <c r="L167" s="173"/>
      <c r="M167" s="173"/>
      <c r="N167" s="173"/>
      <c r="Q167">
        <v>4</v>
      </c>
      <c r="R167" s="173">
        <f>Alim_Surf!Q10</f>
        <v>80</v>
      </c>
      <c r="S167" s="173">
        <f>Alim_Surf!R10</f>
        <v>1</v>
      </c>
      <c r="T167" s="173">
        <f>VLOOKUP(R167,[1]MEP!$A$4:$M$300,13)</f>
        <v>1</v>
      </c>
      <c r="U167" s="173">
        <f t="shared" si="72"/>
        <v>1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1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1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5.5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72"/>
        <v>4</v>
      </c>
      <c r="V169" s="173">
        <f t="shared" si="73"/>
        <v>4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70"/>
        <v>0</v>
      </c>
      <c r="AB169" s="173">
        <f t="shared" si="71"/>
        <v>0</v>
      </c>
      <c r="AC169" s="173">
        <f t="shared" si="75"/>
        <v>4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4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41538.819000000003</v>
      </c>
      <c r="K170" s="62"/>
      <c r="L170" s="62"/>
      <c r="M170" s="62"/>
      <c r="N170" s="62"/>
      <c r="Q170">
        <v>7</v>
      </c>
      <c r="R170" s="173">
        <f>Alim_Surf!Q13</f>
        <v>317</v>
      </c>
      <c r="S170" s="173">
        <f>Alim_Surf!R13</f>
        <v>0</v>
      </c>
      <c r="T170" s="173">
        <f>VLOOKUP(R170,[1]MEP!$A$4:$M$300,13)</f>
        <v>1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226</v>
      </c>
      <c r="S171" s="173">
        <f>Alim_Surf!R14</f>
        <v>0.6</v>
      </c>
      <c r="T171" s="173">
        <f>VLOOKUP(R171,[1]MEP!$A$4:$M$300,13)</f>
        <v>2</v>
      </c>
      <c r="U171" s="173">
        <f t="shared" si="72"/>
        <v>0.6</v>
      </c>
      <c r="V171" s="173">
        <f t="shared" si="73"/>
        <v>0.6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0.6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0.6</v>
      </c>
      <c r="AN171" s="32" t="s">
        <v>665</v>
      </c>
      <c r="AO171" s="173">
        <f>Alim_Surf!O51</f>
        <v>5.6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225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21942.18409333333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14628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13000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4252.6334457979556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4689.5506475353741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3126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225</v>
      </c>
      <c r="S186" s="173">
        <f>Alim_Surf!R29</f>
        <v>2.5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2.5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2.5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72"/>
        <v>5</v>
      </c>
      <c r="V187" s="173">
        <f t="shared" si="73"/>
        <v>5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70"/>
        <v>0</v>
      </c>
      <c r="AB187" s="173">
        <f t="shared" si="71"/>
        <v>0</v>
      </c>
      <c r="AC187" s="173">
        <f t="shared" si="75"/>
        <v>5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5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129</v>
      </c>
      <c r="S188" s="173">
        <f>Alim_Surf!R31</f>
        <v>0</v>
      </c>
      <c r="T188" s="173">
        <f>VLOOKUP(R188,[1]MEP!$A$4:$M$300,13)</f>
        <v>1</v>
      </c>
      <c r="U188" s="173">
        <f t="shared" si="72"/>
        <v>0</v>
      </c>
      <c r="V188" s="173">
        <f t="shared" si="73"/>
        <v>0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70"/>
        <v>0</v>
      </c>
      <c r="AB188" s="173">
        <f t="shared" si="71"/>
        <v>0</v>
      </c>
      <c r="AC188" s="173">
        <f t="shared" si="75"/>
        <v>0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0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216</v>
      </c>
      <c r="S189" s="173">
        <f>Alim_Surf!R32</f>
        <v>1.5</v>
      </c>
      <c r="T189" s="173">
        <f>VLOOKUP(R189,[1]MEP!$A$4:$M$300,13)</f>
        <v>2</v>
      </c>
      <c r="U189" s="173">
        <f t="shared" si="72"/>
        <v>1.5</v>
      </c>
      <c r="V189" s="173">
        <f t="shared" si="73"/>
        <v>1.5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1.5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1.5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226</v>
      </c>
      <c r="S191" s="173">
        <f>Alim_Surf!R34</f>
        <v>1.5</v>
      </c>
      <c r="T191" s="173">
        <f>VLOOKUP(R191,[1]MEP!$A$4:$M$300,13)</f>
        <v>2</v>
      </c>
      <c r="U191" s="173">
        <f t="shared" si="72"/>
        <v>1.5</v>
      </c>
      <c r="V191" s="173">
        <f t="shared" si="73"/>
        <v>1.5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1.5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1.5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33</v>
      </c>
      <c r="U228" s="62">
        <f>SUM(U164:U227)</f>
        <v>22</v>
      </c>
      <c r="V228" s="62">
        <f t="shared" ref="V228:W228" si="84">SUM(V164:V227)</f>
        <v>15.6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9</v>
      </c>
      <c r="AD228" s="62">
        <f>SUM(AD164:AD227)</f>
        <v>24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9</v>
      </c>
      <c r="AH228" s="62">
        <f t="shared" si="86"/>
        <v>11</v>
      </c>
      <c r="AI228" s="62">
        <f t="shared" si="86"/>
        <v>6.4</v>
      </c>
      <c r="AJ228" s="62">
        <f t="shared" si="86"/>
        <v>6.6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8221</v>
      </c>
      <c r="U234" t="s">
        <v>1101</v>
      </c>
      <c r="V234" s="173"/>
      <c r="W234" s="173">
        <f>[1]Protect!$B$4</f>
        <v>6</v>
      </c>
      <c r="X234" s="173">
        <f>T234*W234</f>
        <v>49326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0.33333333333333331</v>
      </c>
      <c r="W235" s="173">
        <f>[1]Protect!$B$83</f>
        <v>2000</v>
      </c>
      <c r="X235" s="173">
        <f t="shared" ref="X235:X236" si="87">T235*W235</f>
        <v>666.66666666666663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49992.666666666664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34492.666666666664</v>
      </c>
      <c r="AB237" s="30">
        <f>(Scénario!K127/100)*AA237</f>
        <v>0</v>
      </c>
      <c r="AC237" s="30">
        <f>AA237-AB237</f>
        <v>34492.666666666664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4252.6334457979556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6</v>
      </c>
      <c r="X245" s="173">
        <f>ROUND((([1]Protect!$B$5/[1]Protect!$B$11)+[1]Protect!$B$8)*T245,0)</f>
        <v>5426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1.1666666666666665</v>
      </c>
      <c r="W246" s="173">
        <f>[1]Eco!$B$106*[1]Eco!$B$108*[1]Eco!$B$109</f>
        <v>2551.2000000000003</v>
      </c>
      <c r="X246" s="173">
        <f>T246*W246</f>
        <v>2976.4</v>
      </c>
    </row>
    <row r="247" spans="17:31" x14ac:dyDescent="0.25">
      <c r="S247" s="14" t="s">
        <v>1116</v>
      </c>
      <c r="T247" s="30">
        <f>Travail!F16/8</f>
        <v>32.666666666666664</v>
      </c>
      <c r="W247" s="173">
        <f>[1]Eco!$B$111</f>
        <v>28.3</v>
      </c>
      <c r="X247" s="173">
        <f>T247*W247</f>
        <v>924.46666666666658</v>
      </c>
    </row>
    <row r="248" spans="17:31" x14ac:dyDescent="0.25">
      <c r="W248" s="14" t="s">
        <v>1117</v>
      </c>
      <c r="X248" s="173">
        <f>SUM(X245:X247)</f>
        <v>9326.8666666666668</v>
      </c>
    </row>
    <row r="249" spans="17:31" x14ac:dyDescent="0.25">
      <c r="W249" s="14" t="s">
        <v>1424</v>
      </c>
      <c r="X249" s="173">
        <f>ROUND(X246+X247+Protection!AJ5*(([1]Protect!$B$5/[1]Protect!$B$11)+[1]Protect!$B$8),0)</f>
        <v>9327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840</v>
      </c>
      <c r="Y254" s="40" t="s">
        <v>1121</v>
      </c>
      <c r="Z254">
        <f>IF(Troupeau!B3="OL",Troupeau!B17,0)</f>
        <v>357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3">
        <f>IF(T258=0,0,[1]Protect!$B78)</f>
        <v>20000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7461.6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7461.6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7461.6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123.315</v>
      </c>
      <c r="U272" s="173"/>
      <c r="V272" s="173"/>
      <c r="W272" s="173">
        <f>W234</f>
        <v>6</v>
      </c>
      <c r="X272" s="173">
        <f>T272*W272</f>
        <v>739.89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0.66666666666666663</v>
      </c>
      <c r="U274" s="173"/>
      <c r="V274" s="173"/>
      <c r="W274" s="173">
        <f>W271</f>
        <v>100</v>
      </c>
      <c r="X274" s="173">
        <f>T274*W274</f>
        <v>66.666666666666657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C237" sqref="C23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Z3_OLBV_T3_MC2s2</v>
      </c>
      <c r="D1" s="275" t="str">
        <f>CONCATENATE(C1,"_corr")</f>
        <v>Z3_OLBV_T3_MC2s2_corr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3</v>
      </c>
      <c r="D7" s="177">
        <f t="shared" si="0"/>
        <v>3</v>
      </c>
    </row>
    <row r="8" spans="2:4" x14ac:dyDescent="0.25">
      <c r="B8" s="14" t="s">
        <v>509</v>
      </c>
      <c r="C8" s="177" t="str">
        <f>Scénario!K9</f>
        <v>M2</v>
      </c>
      <c r="D8" s="177" t="str">
        <f t="shared" si="0"/>
        <v>M2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30</v>
      </c>
      <c r="D18" s="177">
        <f t="shared" si="0"/>
        <v>30</v>
      </c>
    </row>
    <row r="19" spans="2:5" x14ac:dyDescent="0.25">
      <c r="B19" s="14" t="s">
        <v>552</v>
      </c>
      <c r="C19" s="177">
        <f>Scénario!K29</f>
        <v>14</v>
      </c>
      <c r="D19" s="177">
        <f t="shared" si="0"/>
        <v>14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0</v>
      </c>
      <c r="D21" s="177">
        <f t="shared" si="0"/>
        <v>0</v>
      </c>
    </row>
    <row r="22" spans="2:5" x14ac:dyDescent="0.25">
      <c r="B22" s="14" t="s">
        <v>1389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42</v>
      </c>
      <c r="D24" s="177">
        <f t="shared" si="0"/>
        <v>42</v>
      </c>
    </row>
    <row r="25" spans="2:5" x14ac:dyDescent="0.25">
      <c r="B25" s="14" t="s">
        <v>571</v>
      </c>
      <c r="C25" s="177">
        <f>Scénario!K56</f>
        <v>3</v>
      </c>
      <c r="D25" s="177">
        <f t="shared" si="0"/>
        <v>3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1390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1391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1392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1393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2</v>
      </c>
      <c r="D51" s="177">
        <f t="shared" si="0"/>
        <v>2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1</v>
      </c>
      <c r="D59" s="177">
        <f t="shared" si="0"/>
        <v>1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357</v>
      </c>
      <c r="D63" s="258">
        <f>ROUND(C63*$D$82/$C$82,3)</f>
        <v>338.53399999999999</v>
      </c>
      <c r="F63" s="259" t="s">
        <v>1145</v>
      </c>
      <c r="G63">
        <f>D82/C82</f>
        <v>0.94827586206896552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294.37781109445274</v>
      </c>
      <c r="AW64" s="173">
        <f>CdTrp1!C15*$G$63</f>
        <v>291.43403298350825</v>
      </c>
      <c r="AX64" s="173">
        <f>CdTrp1!D15*$G$63</f>
        <v>288.4902548725637</v>
      </c>
      <c r="AY64" s="173">
        <f>CdTrp1!E15*$G$63</f>
        <v>287.01836581709142</v>
      </c>
      <c r="AZ64" s="173">
        <f>CdTrp1!F15*$G$63</f>
        <v>285.5464767616192</v>
      </c>
      <c r="BA64" s="173">
        <f>CdTrp1!G15*$G$63</f>
        <v>284.07458770614693</v>
      </c>
      <c r="BB64" s="173">
        <f>CdTrp1!H15*$G$63</f>
        <v>282.60269865067465</v>
      </c>
      <c r="BC64" s="173">
        <f>CdTrp1!I15*$G$63</f>
        <v>281.13080959520238</v>
      </c>
      <c r="BD64" s="173">
        <f>CdTrp1!J15*$G$63</f>
        <v>278.18703148425789</v>
      </c>
      <c r="BE64" s="173">
        <f>CdTrp1!K15*$G$63</f>
        <v>284.07458770614693</v>
      </c>
      <c r="BF64" s="173">
        <f>CdTrp1!L15*$G$63</f>
        <v>284.07458770614693</v>
      </c>
      <c r="BG64" s="173">
        <f>CdTrp1!M15*$G$63</f>
        <v>284.07458770614693</v>
      </c>
      <c r="BH64" s="173">
        <f>CdTrp1!N15*$G$63</f>
        <v>284.07458770614693</v>
      </c>
      <c r="BI64" s="173">
        <f>CdTrp1!O15*$G$63</f>
        <v>284.07458770614693</v>
      </c>
      <c r="BJ64" s="173">
        <f>CdTrp1!P15*$G$63</f>
        <v>284.07458770614693</v>
      </c>
      <c r="BK64" s="173">
        <f>CdTrp1!Q15*$G$63</f>
        <v>284.07458770614693</v>
      </c>
      <c r="BL64" s="173">
        <f>CdTrp1!R15*$G$63</f>
        <v>284.07458770614693</v>
      </c>
      <c r="BM64" s="173">
        <f>CdTrp1!S15*$G$63</f>
        <v>284.07458770614693</v>
      </c>
      <c r="BN64" s="173">
        <f>CdTrp1!T15*$G$63</f>
        <v>284.07458770614693</v>
      </c>
      <c r="BO64" s="173">
        <f>CdTrp1!U15*$G$63</f>
        <v>310.5685907046477</v>
      </c>
      <c r="BP64" s="173">
        <f>CdTrp1!V15*$G$63</f>
        <v>310.5685907046477</v>
      </c>
      <c r="BQ64" s="173">
        <f>CdTrp1!W15*$G$63</f>
        <v>294.37781109445274</v>
      </c>
      <c r="BR64" s="173">
        <f>CdTrp1!X15*$G$63</f>
        <v>294.37781109445274</v>
      </c>
      <c r="BS64" s="173">
        <f>CdTrp1!Y15*$G$63</f>
        <v>294.37781109445274</v>
      </c>
      <c r="BZ64" s="189" t="str">
        <f>+CdTrp2!A15</f>
        <v xml:space="preserve">vaches </v>
      </c>
      <c r="CA64" s="274"/>
      <c r="CB64" s="173">
        <f>CdTrp2!B15*$G$63</f>
        <v>15.13448275862069</v>
      </c>
      <c r="CC64" s="173">
        <f>CdTrp2!C15*$G$63</f>
        <v>15.13448275862069</v>
      </c>
      <c r="CD64" s="173">
        <f>CdTrp2!D15*$G$63</f>
        <v>15.13448275862069</v>
      </c>
      <c r="CE64" s="173">
        <f>CdTrp2!E15*$G$63</f>
        <v>15.13448275862069</v>
      </c>
      <c r="CF64" s="173">
        <f>CdTrp2!F15*$G$63</f>
        <v>15.13448275862069</v>
      </c>
      <c r="CG64" s="173">
        <f>CdTrp2!G15*$G$63</f>
        <v>15.13448275862069</v>
      </c>
      <c r="CH64" s="173">
        <f>CdTrp2!H15*$G$63</f>
        <v>15.13448275862069</v>
      </c>
      <c r="CI64" s="173">
        <f>CdTrp2!I15*$G$63</f>
        <v>15.13448275862069</v>
      </c>
      <c r="CJ64" s="173">
        <f>CdTrp2!J15*$G$63</f>
        <v>15.13448275862069</v>
      </c>
      <c r="CK64" s="173">
        <f>CdTrp2!K15*$G$63</f>
        <v>15.13448275862069</v>
      </c>
      <c r="CL64" s="173">
        <f>CdTrp2!L15*$G$63</f>
        <v>15.13448275862069</v>
      </c>
      <c r="CM64" s="173">
        <f>CdTrp2!M15*$G$63</f>
        <v>15.13448275862069</v>
      </c>
      <c r="CN64" s="173">
        <f>CdTrp2!N15*$G$63</f>
        <v>15.13448275862069</v>
      </c>
      <c r="CO64" s="173">
        <f>CdTrp2!O15*$G$63</f>
        <v>15.13448275862069</v>
      </c>
      <c r="CP64" s="173">
        <f>CdTrp2!P15*$G$63</f>
        <v>15.13448275862069</v>
      </c>
      <c r="CQ64" s="173">
        <f>CdTrp2!Q15*$G$63</f>
        <v>15.13448275862069</v>
      </c>
      <c r="CR64" s="173">
        <f>CdTrp2!R15*$G$63</f>
        <v>14.337931034482757</v>
      </c>
      <c r="CS64" s="173">
        <f>CdTrp2!S15*$G$63</f>
        <v>14.337931034482757</v>
      </c>
      <c r="CT64" s="173">
        <f>CdTrp2!T15*$G$63</f>
        <v>14.337931034482757</v>
      </c>
      <c r="CU64" s="173">
        <f>CdTrp2!U15*$G$63</f>
        <v>14.337931034482757</v>
      </c>
      <c r="CV64" s="173">
        <f>CdTrp2!V15*$G$63</f>
        <v>15.13448275862069</v>
      </c>
      <c r="CW64" s="173">
        <f>CdTrp2!W15*$G$63</f>
        <v>15.13448275862069</v>
      </c>
      <c r="CX64" s="173">
        <f>CdTrp2!X15*$G$63</f>
        <v>15.13448275862069</v>
      </c>
      <c r="CY64" s="173">
        <f>CdTrp2!Y15*$G$63</f>
        <v>15.13448275862069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21</v>
      </c>
      <c r="D65" s="258">
        <f t="shared" si="1"/>
        <v>19.914000000000001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27.965892053973015</v>
      </c>
      <c r="AW65" s="173">
        <f>CdTrp1!C16*$G$63</f>
        <v>27.965892053973015</v>
      </c>
      <c r="AX65" s="173">
        <f>CdTrp1!D16*$G$63</f>
        <v>27.965892053973015</v>
      </c>
      <c r="AY65" s="173">
        <f>CdTrp1!E16*$G$63</f>
        <v>27.965892053973015</v>
      </c>
      <c r="AZ65" s="173">
        <f>CdTrp1!F16*$G$63</f>
        <v>27.965892053973015</v>
      </c>
      <c r="BA65" s="173">
        <f>CdTrp1!G16*$G$63</f>
        <v>27.965892053973015</v>
      </c>
      <c r="BB65" s="173">
        <f>CdTrp1!H16*$G$63</f>
        <v>27.965892053973015</v>
      </c>
      <c r="BC65" s="173">
        <f>CdTrp1!I16*$G$63</f>
        <v>27.965892053973015</v>
      </c>
      <c r="BD65" s="173">
        <f>CdTrp1!J16*$G$63</f>
        <v>27.965892053973015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27.965892053973015</v>
      </c>
      <c r="BP65" s="173">
        <f>CdTrp1!V16*$G$63</f>
        <v>27.965892053973015</v>
      </c>
      <c r="BQ65" s="173">
        <f>CdTrp1!W16*$G$63</f>
        <v>27.965892053973015</v>
      </c>
      <c r="BR65" s="173">
        <f>CdTrp1!X16*$G$63</f>
        <v>27.965892053973015</v>
      </c>
      <c r="BS65" s="173">
        <f>CdTrp1!Y16*$G$63</f>
        <v>27.965892053973015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1.5931034482758619</v>
      </c>
      <c r="CH65" s="173">
        <f>CdTrp2!H16*$G$63</f>
        <v>3.1862068965517238</v>
      </c>
      <c r="CI65" s="173">
        <f>CdTrp2!I16*$G$63</f>
        <v>4.7793103448275867</v>
      </c>
      <c r="CJ65" s="173">
        <f>CdTrp2!J16*$G$63</f>
        <v>4.7793103448275867</v>
      </c>
      <c r="CK65" s="173">
        <f>CdTrp2!K16*$G$63</f>
        <v>4.7793103448275867</v>
      </c>
      <c r="CL65" s="173">
        <f>CdTrp2!L16*$G$63</f>
        <v>4.7793103448275867</v>
      </c>
      <c r="CM65" s="173">
        <f>CdTrp2!M16*$G$63</f>
        <v>4.7793103448275867</v>
      </c>
      <c r="CN65" s="173">
        <f>CdTrp2!N16*$G$63</f>
        <v>4.7793103448275867</v>
      </c>
      <c r="CO65" s="173">
        <f>CdTrp2!O16*$G$63</f>
        <v>4.7793103448275867</v>
      </c>
      <c r="CP65" s="173">
        <f>CdTrp2!P16*$G$63</f>
        <v>4.7793103448275867</v>
      </c>
      <c r="CQ65" s="173">
        <f>CdTrp2!Q16*$G$63</f>
        <v>4.7793103448275867</v>
      </c>
      <c r="CR65" s="173">
        <f>CdTrp2!R16*$G$63</f>
        <v>4.7793103448275867</v>
      </c>
      <c r="CS65" s="173">
        <f>CdTrp2!S16*$G$63</f>
        <v>4.7793103448275867</v>
      </c>
      <c r="CT65" s="173">
        <f>CdTrp2!T16*$G$63</f>
        <v>3.9827586206896552</v>
      </c>
      <c r="CU65" s="173">
        <f>CdTrp2!U16*$G$63</f>
        <v>3.9827586206896552</v>
      </c>
      <c r="CV65" s="173">
        <f>CdTrp2!V16*$G$63</f>
        <v>1.5931034482758619</v>
      </c>
      <c r="CW65" s="173">
        <f>CdTrp2!W16*$G$63</f>
        <v>0.79655172413793096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76.53823088455772</v>
      </c>
      <c r="AW66" s="173">
        <f>CdTrp1!C17*$G$63</f>
        <v>76.53823088455772</v>
      </c>
      <c r="AX66" s="173">
        <f>CdTrp1!D17*$G$63</f>
        <v>76.53823088455772</v>
      </c>
      <c r="AY66" s="173">
        <f>CdTrp1!E17*$G$63</f>
        <v>76.53823088455772</v>
      </c>
      <c r="AZ66" s="173">
        <f>CdTrp1!F17*$G$63</f>
        <v>76.53823088455772</v>
      </c>
      <c r="BA66" s="173">
        <f>CdTrp1!G17*$G$63</f>
        <v>76.53823088455772</v>
      </c>
      <c r="BB66" s="173">
        <f>CdTrp1!H17*$G$63</f>
        <v>76.53823088455772</v>
      </c>
      <c r="BC66" s="173">
        <f>CdTrp1!I17*$G$63</f>
        <v>76.53823088455772</v>
      </c>
      <c r="BD66" s="173">
        <f>CdTrp1!J17*$G$63</f>
        <v>76.53823088455772</v>
      </c>
      <c r="BE66" s="173">
        <f>CdTrp1!K17*$G$63</f>
        <v>76.53823088455772</v>
      </c>
      <c r="BF66" s="173">
        <f>CdTrp1!L17*$G$63</f>
        <v>76.53823088455772</v>
      </c>
      <c r="BG66" s="173">
        <f>CdTrp1!M17*$G$63</f>
        <v>76.53823088455772</v>
      </c>
      <c r="BH66" s="173">
        <f>CdTrp1!N17*$G$63</f>
        <v>76.53823088455772</v>
      </c>
      <c r="BI66" s="173">
        <f>CdTrp1!O17*$G$63</f>
        <v>76.53823088455772</v>
      </c>
      <c r="BJ66" s="173">
        <f>CdTrp1!P17*$G$63</f>
        <v>76.53823088455772</v>
      </c>
      <c r="BK66" s="173">
        <f>CdTrp1!Q17*$G$63</f>
        <v>76.53823088455772</v>
      </c>
      <c r="BL66" s="173">
        <f>CdTrp1!R17*$G$63</f>
        <v>76.53823088455772</v>
      </c>
      <c r="BM66" s="173">
        <f>CdTrp1!S17*$G$63</f>
        <v>76.53823088455772</v>
      </c>
      <c r="BN66" s="173">
        <f>CdTrp1!T17*$G$63</f>
        <v>76.53823088455772</v>
      </c>
      <c r="BO66" s="173">
        <f>CdTrp1!U17*$G$63</f>
        <v>0</v>
      </c>
      <c r="BP66" s="173">
        <f>CdTrp1!V17*$G$63</f>
        <v>0</v>
      </c>
      <c r="BQ66" s="173">
        <f>CdTrp1!W17*$G$63</f>
        <v>76.53823088455772</v>
      </c>
      <c r="BR66" s="173">
        <f>CdTrp1!X17*$G$63</f>
        <v>76.53823088455772</v>
      </c>
      <c r="BS66" s="173">
        <f>CdTrp1!Y17*$G$63</f>
        <v>76.53823088455772</v>
      </c>
      <c r="BZ66" s="189" t="str">
        <f>+CdTrp2!A17</f>
        <v>genisses +1an</v>
      </c>
      <c r="CA66" s="274"/>
      <c r="CB66" s="173">
        <f>CdTrp2!B17*$G$63</f>
        <v>9.5586206896551733</v>
      </c>
      <c r="CC66" s="173">
        <f>CdTrp2!C17*$G$63</f>
        <v>9.5586206896551733</v>
      </c>
      <c r="CD66" s="173">
        <f>CdTrp2!D17*$G$63</f>
        <v>9.5586206896551733</v>
      </c>
      <c r="CE66" s="173">
        <f>CdTrp2!E17*$G$63</f>
        <v>9.5586206896551733</v>
      </c>
      <c r="CF66" s="173">
        <f>CdTrp2!F17*$G$63</f>
        <v>9.5586206896551733</v>
      </c>
      <c r="CG66" s="173">
        <f>CdTrp2!G17*$G$63</f>
        <v>9.5586206896551733</v>
      </c>
      <c r="CH66" s="173">
        <f>CdTrp2!H17*$G$63</f>
        <v>9.5586206896551733</v>
      </c>
      <c r="CI66" s="173">
        <f>CdTrp2!I17*$G$63</f>
        <v>9.5586206896551733</v>
      </c>
      <c r="CJ66" s="173">
        <f>CdTrp2!J17*$G$63</f>
        <v>9.5586206896551733</v>
      </c>
      <c r="CK66" s="173">
        <f>CdTrp2!K17*$G$63</f>
        <v>9.5586206896551733</v>
      </c>
      <c r="CL66" s="173">
        <f>CdTrp2!L17*$G$63</f>
        <v>9.5586206896551733</v>
      </c>
      <c r="CM66" s="173">
        <f>CdTrp2!M17*$G$63</f>
        <v>9.5586206896551733</v>
      </c>
      <c r="CN66" s="173">
        <f>CdTrp2!N17*$G$63</f>
        <v>9.5586206896551733</v>
      </c>
      <c r="CO66" s="173">
        <f>CdTrp2!O17*$G$63</f>
        <v>9.5586206896551733</v>
      </c>
      <c r="CP66" s="173">
        <f>CdTrp2!P17*$G$63</f>
        <v>9.5586206896551733</v>
      </c>
      <c r="CQ66" s="173">
        <f>CdTrp2!Q17*$G$63</f>
        <v>9.5586206896551733</v>
      </c>
      <c r="CR66" s="173">
        <f>CdTrp2!R17*$G$63</f>
        <v>9.5586206896551733</v>
      </c>
      <c r="CS66" s="173">
        <f>CdTrp2!S17*$G$63</f>
        <v>9.5586206896551733</v>
      </c>
      <c r="CT66" s="173">
        <f>CdTrp2!T17*$G$63</f>
        <v>9.5586206896551733</v>
      </c>
      <c r="CU66" s="173">
        <f>CdTrp2!U17*$G$63</f>
        <v>9.5586206896551733</v>
      </c>
      <c r="CV66" s="173">
        <f>CdTrp2!V17*$G$63</f>
        <v>9.5586206896551733</v>
      </c>
      <c r="CW66" s="173">
        <f>CdTrp2!W17*$G$63</f>
        <v>9.5586206896551733</v>
      </c>
      <c r="CX66" s="173">
        <f>CdTrp2!X17*$G$63</f>
        <v>9.5586206896551733</v>
      </c>
      <c r="CY66" s="173">
        <f>CdTrp2!Y17*$G$63</f>
        <v>9.5586206896551733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49.349817391304335</v>
      </c>
      <c r="D67" s="258">
        <f>ROUND(C67*$D$82/$C$82,3)</f>
        <v>46.796999999999997</v>
      </c>
      <c r="AT67" s="189" t="str">
        <f t="shared" si="2"/>
        <v>beliers</v>
      </c>
      <c r="AU67" s="274"/>
      <c r="AV67" s="173">
        <f>CdTrp1!B18*$G$63</f>
        <v>8.8313343328335829</v>
      </c>
      <c r="AW67" s="173">
        <f>CdTrp1!C18*$G$63</f>
        <v>8.8313343328335829</v>
      </c>
      <c r="AX67" s="173">
        <f>CdTrp1!D18*$G$63</f>
        <v>8.8313343328335829</v>
      </c>
      <c r="AY67" s="173">
        <f>CdTrp1!E18*$G$63</f>
        <v>8.8313343328335829</v>
      </c>
      <c r="AZ67" s="173">
        <f>CdTrp1!F18*$G$63</f>
        <v>8.8313343328335829</v>
      </c>
      <c r="BA67" s="173">
        <f>CdTrp1!G18*$G$63</f>
        <v>8.8313343328335829</v>
      </c>
      <c r="BB67" s="173">
        <f>CdTrp1!H18*$G$63</f>
        <v>8.8313343328335829</v>
      </c>
      <c r="BC67" s="173">
        <f>CdTrp1!I18*$G$63</f>
        <v>8.8313343328335829</v>
      </c>
      <c r="BD67" s="173">
        <f>CdTrp1!J18*$G$63</f>
        <v>8.8313343328335829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8.8313343328335829</v>
      </c>
      <c r="BP67" s="173">
        <f>CdTrp1!V18*$G$63</f>
        <v>8.8313343328335829</v>
      </c>
      <c r="BQ67" s="173">
        <f>CdTrp1!W18*$G$63</f>
        <v>8.8313343328335829</v>
      </c>
      <c r="BR67" s="173">
        <f>CdTrp1!X18*$G$63</f>
        <v>8.8313343328335829</v>
      </c>
      <c r="BS67" s="173">
        <f>CdTrp1!Y18*$G$63</f>
        <v>8.8313343328335829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22.293180000000007</v>
      </c>
      <c r="D68" s="258">
        <f>ROUND(C68*$D$82/$C$82,3)</f>
        <v>21.14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71.642997391304334</v>
      </c>
      <c r="D70" s="258">
        <f>ROUND(C70*$D$82/$C$82,3)</f>
        <v>67.936999999999998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2</v>
      </c>
      <c r="D71" s="258">
        <f t="shared" ref="D71:D80" si="3">ROUND(C71*$D$82/$C$82,3)</f>
        <v>1.897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9</v>
      </c>
      <c r="D73" s="258">
        <f t="shared" si="3"/>
        <v>8.5340000000000007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11</v>
      </c>
      <c r="D74" s="258">
        <f t="shared" si="3"/>
        <v>10.430999999999999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24</v>
      </c>
      <c r="D75" s="258">
        <f t="shared" si="3"/>
        <v>22.759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4</v>
      </c>
      <c r="D76" s="258">
        <f t="shared" si="3"/>
        <v>3.7930000000000001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4.7409999999999997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18.5</v>
      </c>
      <c r="D78" s="258">
        <f t="shared" si="3"/>
        <v>17.542999999999999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5.5</v>
      </c>
      <c r="D79" s="258">
        <f t="shared" si="3"/>
        <v>5.2160000000000002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5.6</v>
      </c>
      <c r="D80" s="258">
        <f t="shared" si="3"/>
        <v>5.31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35</v>
      </c>
      <c r="D81" s="258">
        <f>ROUND(C81*$D$82/$C$82,3)</f>
        <v>33.19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40.6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1394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1.7649999999999999</v>
      </c>
      <c r="D84" s="173">
        <f>ROUND(D70/D82,3)</f>
        <v>1.7649999999999999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22</v>
      </c>
      <c r="D85" s="261">
        <f>ROUND(C85*$D$82/$C$82,3)</f>
        <v>20.861999999999998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15.6</v>
      </c>
      <c r="D86" s="261">
        <f t="shared" ref="D86:D97" si="14">ROUND(C86*$D$82/$C$82,3)</f>
        <v>14.792999999999999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0</v>
      </c>
      <c r="D88" s="261">
        <f t="shared" si="14"/>
        <v>0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3</v>
      </c>
      <c r="D89" s="261">
        <f t="shared" si="14"/>
        <v>2.8450000000000002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0.94799999999999995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1</v>
      </c>
      <c r="D91" s="261">
        <f t="shared" si="14"/>
        <v>0.94799999999999995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2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34</v>
      </c>
      <c r="D97" s="261">
        <f t="shared" si="14"/>
        <v>32.241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2</v>
      </c>
      <c r="D98" s="173">
        <f>C98</f>
        <v>2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5</v>
      </c>
      <c r="D101" s="173">
        <f t="shared" si="25"/>
        <v>5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2</v>
      </c>
      <c r="X105" s="30">
        <f>CdTrp2!R76</f>
        <v>2</v>
      </c>
      <c r="Y105" s="30">
        <f>CdTrp2!S76</f>
        <v>2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20.5</v>
      </c>
      <c r="D106" s="173">
        <f t="shared" si="25"/>
        <v>20.5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28</v>
      </c>
      <c r="D107" s="173">
        <f t="shared" si="25"/>
        <v>28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48.5</v>
      </c>
      <c r="D109" s="173">
        <f t="shared" si="25"/>
        <v>48.5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1</v>
      </c>
      <c r="CM109" s="173">
        <f>IF(CdTrp2!M76=1,1,IF(CdTrp2!M76=2,2,IF(CdTrp2!M76=3,2,IF(CdTrp2!M76=4,4,0))))</f>
        <v>1</v>
      </c>
      <c r="CN109" s="173">
        <f>IF(CdTrp2!N76=1,1,IF(CdTrp2!N76=2,2,IF(CdTrp2!N76=3,2,IF(CdTrp2!N76=4,4,0))))</f>
        <v>1</v>
      </c>
      <c r="CO109" s="173">
        <f>IF(CdTrp2!O76=1,1,IF(CdTrp2!O76=2,2,IF(CdTrp2!O76=3,2,IF(CdTrp2!O76=4,4,0))))</f>
        <v>1</v>
      </c>
      <c r="CP109" s="173">
        <f>IF(CdTrp2!P76=1,1,IF(CdTrp2!P76=2,2,IF(CdTrp2!P76=3,2,IF(CdTrp2!P76=4,4,0))))</f>
        <v>1</v>
      </c>
      <c r="CQ109" s="173">
        <f>IF(CdTrp2!Q76=1,1,IF(CdTrp2!Q76=2,2,IF(CdTrp2!Q76=3,2,IF(CdTrp2!Q76=4,4,0))))</f>
        <v>2</v>
      </c>
      <c r="CR109" s="173">
        <f>IF(CdTrp2!R76=1,1,IF(CdTrp2!R76=2,2,IF(CdTrp2!R76=3,2,IF(CdTrp2!R76=4,4,0))))</f>
        <v>2</v>
      </c>
      <c r="CS109" s="173">
        <f>IF(CdTrp2!S76=1,1,IF(CdTrp2!S76=2,2,IF(CdTrp2!S76=3,2,IF(CdTrp2!S76=4,4,0))))</f>
        <v>2</v>
      </c>
      <c r="CT109" s="173">
        <f>IF(CdTrp2!T76=1,1,IF(CdTrp2!T76=2,2,IF(CdTrp2!T76=3,2,IF(CdTrp2!T76=4,4,0))))</f>
        <v>1</v>
      </c>
      <c r="CU109" s="173">
        <f>IF(CdTrp2!U76=1,1,IF(CdTrp2!U76=2,2,IF(CdTrp2!U76=3,2,IF(CdTrp2!U76=4,4,0))))</f>
        <v>1</v>
      </c>
      <c r="CV109" s="173">
        <f>IF(CdTrp2!V76=1,1,IF(CdTrp2!V76=2,2,IF(CdTrp2!V76=3,2,IF(CdTrp2!V76=4,4,0))))</f>
        <v>1</v>
      </c>
      <c r="CW109" s="173">
        <f>IF(CdTrp2!W76=1,1,IF(CdTrp2!W76=2,2,IF(CdTrp2!W76=3,2,IF(CdTrp2!W76=4,4,0))))</f>
        <v>1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10</v>
      </c>
      <c r="D110" s="173">
        <f t="shared" si="25"/>
        <v>10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2</v>
      </c>
      <c r="CE110" s="173">
        <f>IF(CdTrp2!E77=1,1,IF(CdTrp2!E77=2,2,IF(CdTrp2!E77=3,2,IF(CdTrp2!E77=4,4,0))))</f>
        <v>2</v>
      </c>
      <c r="CF110" s="173">
        <f>IF(CdTrp2!F77=1,1,IF(CdTrp2!F77=2,2,IF(CdTrp2!F77=3,2,IF(CdTrp2!F77=4,4,0))))</f>
        <v>2</v>
      </c>
      <c r="CG110" s="173">
        <f>IF(CdTrp2!G77=1,1,IF(CdTrp2!G77=2,2,IF(CdTrp2!G77=3,2,IF(CdTrp2!G77=4,4,0))))</f>
        <v>2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14.5</v>
      </c>
      <c r="D111" s="173">
        <f t="shared" si="25"/>
        <v>14.5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7</v>
      </c>
      <c r="D113" s="173">
        <f t="shared" si="25"/>
        <v>7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13.5</v>
      </c>
      <c r="D114" s="173">
        <f t="shared" si="25"/>
        <v>13.5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0</v>
      </c>
      <c r="D117" s="173">
        <f t="shared" si="25"/>
        <v>0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31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32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30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211</v>
      </c>
      <c r="CM121" s="173">
        <f>IF(CM75=0,0,VALUE(CONCATENATE(Travail!CM26,Travail!CM37,Travail!CM48)))</f>
        <v>211</v>
      </c>
      <c r="CN121" s="173">
        <f>IF(CN75=0,0,VALUE(CONCATENATE(Travail!CN26,Travail!CN37,Travail!CN48)))</f>
        <v>211</v>
      </c>
      <c r="CO121" s="173">
        <f>IF(CO75=0,0,VALUE(CONCATENATE(Travail!CO26,Travail!CO37,Travail!CO48)))</f>
        <v>211</v>
      </c>
      <c r="CP121" s="173">
        <f>IF(CP75=0,0,VALUE(CONCATENATE(Travail!CP26,Travail!CP37,Travail!CP48)))</f>
        <v>211</v>
      </c>
      <c r="CQ121" s="173">
        <f>IF(CQ75=0,0,VALUE(CONCATENATE(Travail!CQ26,Travail!CQ37,Travail!CQ48)))</f>
        <v>212</v>
      </c>
      <c r="CR121" s="173">
        <f>IF(CR75=0,0,VALUE(CONCATENATE(Travail!CR26,Travail!CR37,Travail!CR48)))</f>
        <v>212</v>
      </c>
      <c r="CS121" s="173">
        <f>IF(CS75=0,0,VALUE(CONCATENATE(Travail!CS26,Travail!CS37,Travail!CS48)))</f>
        <v>212</v>
      </c>
      <c r="CT121" s="173">
        <f>IF(CT75=0,0,VALUE(CONCATENATE(Travail!CT26,Travail!CT37,Travail!CT48)))</f>
        <v>221</v>
      </c>
      <c r="CU121" s="173">
        <f>IF(CU75=0,0,VALUE(CONCATENATE(Travail!CU26,Travail!CU37,Travail!CU48)))</f>
        <v>221</v>
      </c>
      <c r="CV121" s="173">
        <f>IF(CV75=0,0,VALUE(CONCATENATE(Travail!CV26,Travail!CV37,Travail!CV48)))</f>
        <v>221</v>
      </c>
      <c r="CW121" s="173">
        <f>IF(CW75=0,0,VALUE(CONCATENATE(Travail!CW26,Travail!CW37,Travail!CW48)))</f>
        <v>221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222</v>
      </c>
      <c r="AW122" s="173">
        <f>IF(AW76=0,0,IF(AW99=3,0,VALUE(CONCATENATE(Travail!AW27,Travail!AW38,Travail!AW49))))</f>
        <v>222</v>
      </c>
      <c r="AX122" s="173">
        <f>IF(AX76=0,0,IF(AX99=3,0,VALUE(CONCATENATE(Travail!AX27,Travail!AX38,Travail!AX49))))</f>
        <v>222</v>
      </c>
      <c r="AY122" s="173">
        <f>IF(AY76=0,0,IF(AY99=3,0,VALUE(CONCATENATE(Travail!AY27,Travail!AY38,Travail!AY49))))</f>
        <v>222</v>
      </c>
      <c r="AZ122" s="173">
        <f>IF(AZ76=0,0,IF(AZ99=3,0,VALUE(CONCATENATE(Travail!AZ27,Travail!AZ38,Travail!AZ49))))</f>
        <v>222</v>
      </c>
      <c r="BA122" s="173">
        <f>IF(BA76=0,0,IF(BA99=3,0,VALUE(CONCATENATE(Travail!BA27,Travail!BA38,Travail!BA49))))</f>
        <v>222</v>
      </c>
      <c r="BB122" s="173">
        <f>IF(BB76=0,0,IF(BB99=3,0,VALUE(CONCATENATE(Travail!BB27,Travail!BB38,Travail!BB49))))</f>
        <v>222</v>
      </c>
      <c r="BC122" s="173">
        <f>IF(BC76=0,0,IF(BC99=3,0,VALUE(CONCATENATE(Travail!BC27,Travail!BC38,Travail!BC49))))</f>
        <v>222</v>
      </c>
      <c r="BD122" s="173">
        <f>IF(BD76=0,0,IF(BD99=3,0,VALUE(CONCATENATE(Travail!BD27,Travail!BD38,Travail!BD49))))</f>
        <v>222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222</v>
      </c>
      <c r="BP122" s="173">
        <f>IF(BP76=0,0,IF(BP99=3,0,VALUE(CONCATENATE(Travail!BP27,Travail!BP38,Travail!BP49))))</f>
        <v>222</v>
      </c>
      <c r="BQ122" s="173">
        <f>IF(BQ76=0,0,IF(BQ99=3,0,VALUE(CONCATENATE(Travail!BQ27,Travail!BQ38,Travail!BQ49))))</f>
        <v>222</v>
      </c>
      <c r="BR122" s="173">
        <f>IF(BR76=0,0,IF(BR99=3,0,VALUE(CONCATENATE(Travail!BR27,Travail!BR38,Travail!BR49))))</f>
        <v>222</v>
      </c>
      <c r="BS122" s="173">
        <f>IF(BS76=0,0,IF(BS99=3,0,VALUE(CONCATENATE(Travail!BS27,Travail!BS38,Travail!BS49))))</f>
        <v>222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212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3.5</v>
      </c>
      <c r="D128" s="173">
        <f t="shared" si="25"/>
        <v>3.5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2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3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0.58823529411764708</v>
      </c>
      <c r="D133" s="262">
        <f t="shared" si="25"/>
        <v>0.58823529411764708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0.5178571428571429</v>
      </c>
      <c r="D134" s="262">
        <f t="shared" si="25"/>
        <v>0.5178571428571429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23</v>
      </c>
      <c r="AW135" s="173">
        <f t="shared" si="39"/>
        <v>23</v>
      </c>
      <c r="AX135" s="173">
        <f t="shared" si="39"/>
        <v>23</v>
      </c>
      <c r="AY135" s="173">
        <f t="shared" si="39"/>
        <v>23</v>
      </c>
      <c r="AZ135" s="173">
        <f t="shared" si="39"/>
        <v>23</v>
      </c>
      <c r="BA135" s="173">
        <f t="shared" si="39"/>
        <v>23</v>
      </c>
      <c r="BB135" s="173">
        <f t="shared" si="39"/>
        <v>23</v>
      </c>
      <c r="BC135" s="173">
        <f t="shared" si="39"/>
        <v>23</v>
      </c>
      <c r="BD135" s="173">
        <f t="shared" si="39"/>
        <v>23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23</v>
      </c>
      <c r="BP135" s="173">
        <f t="shared" si="39"/>
        <v>23</v>
      </c>
      <c r="BQ135" s="173">
        <f t="shared" si="39"/>
        <v>23</v>
      </c>
      <c r="BR135" s="173">
        <f t="shared" si="39"/>
        <v>23</v>
      </c>
      <c r="BS135" s="173">
        <f t="shared" si="39"/>
        <v>23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0.5444444444444444</v>
      </c>
      <c r="D136" s="262">
        <f t="shared" si="25"/>
        <v>0.5444444444444444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246</v>
      </c>
      <c r="D137" s="263">
        <f>C137*$D$82/$C$82</f>
        <v>233.27586206896552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47</v>
      </c>
      <c r="D138" s="263">
        <f t="shared" ref="D138:D174" si="50">C138*$D$82/$C$82</f>
        <v>44.568965517241381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9.4827586206896548</v>
      </c>
      <c r="AT142" s="19" t="s">
        <v>817</v>
      </c>
      <c r="AV142" s="173">
        <f>COUNTIF(AV$132:AV$141,23)</f>
        <v>3</v>
      </c>
      <c r="AW142" s="173">
        <f t="shared" ref="AW142:BS142" si="58">COUNTIF(AW$132:AW$141,23)</f>
        <v>3</v>
      </c>
      <c r="AX142" s="173">
        <f t="shared" si="58"/>
        <v>3</v>
      </c>
      <c r="AY142" s="173">
        <f t="shared" si="58"/>
        <v>2</v>
      </c>
      <c r="AZ142" s="173">
        <f t="shared" si="58"/>
        <v>2</v>
      </c>
      <c r="BA142" s="173">
        <f t="shared" si="58"/>
        <v>2</v>
      </c>
      <c r="BB142" s="173">
        <f t="shared" si="58"/>
        <v>2</v>
      </c>
      <c r="BC142" s="173">
        <f t="shared" si="58"/>
        <v>2</v>
      </c>
      <c r="BD142" s="173">
        <f t="shared" si="58"/>
        <v>2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1</v>
      </c>
      <c r="BP142" s="173">
        <f t="shared" si="58"/>
        <v>2</v>
      </c>
      <c r="BQ142" s="173">
        <f t="shared" si="58"/>
        <v>3</v>
      </c>
      <c r="BR142" s="173">
        <f t="shared" si="58"/>
        <v>3</v>
      </c>
      <c r="BS142" s="173">
        <f t="shared" si="58"/>
        <v>3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5</v>
      </c>
      <c r="D143" s="263">
        <f t="shared" si="50"/>
        <v>4.7413793103448274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1</v>
      </c>
      <c r="AW144" s="173">
        <f t="shared" ref="AW144:BS144" si="64">COUNTIF(AW$132:AW$141,22)</f>
        <v>1</v>
      </c>
      <c r="AX144" s="173">
        <f t="shared" si="64"/>
        <v>1</v>
      </c>
      <c r="AY144" s="173">
        <f t="shared" si="64"/>
        <v>2</v>
      </c>
      <c r="AZ144" s="173">
        <f t="shared" si="64"/>
        <v>2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2</v>
      </c>
      <c r="BP144" s="173">
        <f t="shared" si="64"/>
        <v>1</v>
      </c>
      <c r="BQ144" s="173">
        <f t="shared" si="64"/>
        <v>1</v>
      </c>
      <c r="BR144" s="173">
        <f t="shared" si="64"/>
        <v>1</v>
      </c>
      <c r="BS144" s="173">
        <f t="shared" si="64"/>
        <v>1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47272</v>
      </c>
      <c r="D148" s="263">
        <f t="shared" si="50"/>
        <v>44826.896551724138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7.5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294.37781109445274</v>
      </c>
      <c r="AW151" s="173">
        <f t="shared" si="74"/>
        <v>291.43403298350825</v>
      </c>
      <c r="AX151" s="173">
        <f t="shared" si="74"/>
        <v>288.4902548725637</v>
      </c>
      <c r="AY151" s="173">
        <f t="shared" si="74"/>
        <v>287.01836581709142</v>
      </c>
      <c r="AZ151" s="173">
        <f t="shared" si="74"/>
        <v>285.5464767616192</v>
      </c>
      <c r="BA151" s="173">
        <f t="shared" si="74"/>
        <v>284.07458770614693</v>
      </c>
      <c r="BB151" s="173">
        <f t="shared" si="74"/>
        <v>282.60269865067465</v>
      </c>
      <c r="BC151" s="173">
        <f t="shared" si="74"/>
        <v>281.13080959520238</v>
      </c>
      <c r="BD151" s="173">
        <f t="shared" si="74"/>
        <v>278.18703148425789</v>
      </c>
      <c r="BE151" s="173">
        <f t="shared" si="74"/>
        <v>284.07458770614693</v>
      </c>
      <c r="BF151" s="173">
        <f t="shared" si="74"/>
        <v>284.07458770614693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284.07458770614693</v>
      </c>
      <c r="BO151" s="173">
        <f t="shared" si="74"/>
        <v>310.5685907046477</v>
      </c>
      <c r="BP151" s="173">
        <f t="shared" si="74"/>
        <v>310.5685907046477</v>
      </c>
      <c r="BQ151" s="173">
        <f t="shared" si="74"/>
        <v>294.37781109445274</v>
      </c>
      <c r="BR151" s="173">
        <f t="shared" si="74"/>
        <v>294.37781109445274</v>
      </c>
      <c r="BS151" s="173">
        <f t="shared" si="74"/>
        <v>294.37781109445274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15.13448275862069</v>
      </c>
      <c r="CC151" s="173">
        <f t="shared" si="76"/>
        <v>15.13448275862069</v>
      </c>
      <c r="CD151" s="173">
        <f t="shared" si="76"/>
        <v>15.13448275862069</v>
      </c>
      <c r="CE151" s="173">
        <f t="shared" si="76"/>
        <v>15.13448275862069</v>
      </c>
      <c r="CF151" s="173">
        <f t="shared" si="76"/>
        <v>15.13448275862069</v>
      </c>
      <c r="CG151" s="173">
        <f t="shared" si="76"/>
        <v>15.13448275862069</v>
      </c>
      <c r="CH151" s="173">
        <f t="shared" si="76"/>
        <v>15.13448275862069</v>
      </c>
      <c r="CI151" s="173">
        <f t="shared" si="76"/>
        <v>15.13448275862069</v>
      </c>
      <c r="CJ151" s="173">
        <f t="shared" si="76"/>
        <v>15.13448275862069</v>
      </c>
      <c r="CK151" s="173">
        <f t="shared" si="76"/>
        <v>15.13448275862069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14.337931034482757</v>
      </c>
      <c r="CU151" s="173">
        <f t="shared" si="76"/>
        <v>14.337931034482757</v>
      </c>
      <c r="CV151" s="173">
        <f t="shared" si="76"/>
        <v>15.13448275862069</v>
      </c>
      <c r="CW151" s="173">
        <f t="shared" si="76"/>
        <v>15.13448275862069</v>
      </c>
      <c r="CX151" s="173">
        <f t="shared" si="76"/>
        <v>15.13448275862069</v>
      </c>
      <c r="CY151" s="173">
        <f t="shared" si="76"/>
        <v>15.13448275862069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27.965892053973015</v>
      </c>
      <c r="AW152" s="173">
        <f t="shared" si="74"/>
        <v>27.965892053973015</v>
      </c>
      <c r="AX152" s="173">
        <f t="shared" si="74"/>
        <v>27.965892053973015</v>
      </c>
      <c r="AY152" s="173">
        <f t="shared" si="74"/>
        <v>27.965892053973015</v>
      </c>
      <c r="AZ152" s="173">
        <f t="shared" si="74"/>
        <v>27.965892053973015</v>
      </c>
      <c r="BA152" s="173">
        <f t="shared" si="74"/>
        <v>27.965892053973015</v>
      </c>
      <c r="BB152" s="173">
        <f t="shared" si="74"/>
        <v>27.965892053973015</v>
      </c>
      <c r="BC152" s="173">
        <f t="shared" si="74"/>
        <v>27.965892053973015</v>
      </c>
      <c r="BD152" s="173">
        <f t="shared" si="74"/>
        <v>27.965892053973015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27.965892053973015</v>
      </c>
      <c r="BP152" s="173">
        <f t="shared" si="74"/>
        <v>27.965892053973015</v>
      </c>
      <c r="BQ152" s="173">
        <f t="shared" si="74"/>
        <v>27.965892053973015</v>
      </c>
      <c r="BR152" s="173">
        <f t="shared" si="74"/>
        <v>27.965892053973015</v>
      </c>
      <c r="BS152" s="173">
        <f t="shared" si="74"/>
        <v>27.965892053973015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1.5931034482758619</v>
      </c>
      <c r="CW152" s="173">
        <f t="shared" si="76"/>
        <v>0.79655172413793096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5</v>
      </c>
      <c r="AT153" s="189" t="str">
        <f t="shared" si="73"/>
        <v>agnelles</v>
      </c>
      <c r="AV153" s="173">
        <f t="shared" si="74"/>
        <v>76.53823088455772</v>
      </c>
      <c r="AW153" s="173">
        <f t="shared" si="74"/>
        <v>76.53823088455772</v>
      </c>
      <c r="AX153" s="173">
        <f t="shared" si="74"/>
        <v>76.53823088455772</v>
      </c>
      <c r="AY153" s="173">
        <f t="shared" si="74"/>
        <v>76.53823088455772</v>
      </c>
      <c r="AZ153" s="173">
        <f t="shared" si="74"/>
        <v>76.53823088455772</v>
      </c>
      <c r="BA153" s="173">
        <f t="shared" si="74"/>
        <v>76.53823088455772</v>
      </c>
      <c r="BB153" s="173">
        <f t="shared" si="74"/>
        <v>76.53823088455772</v>
      </c>
      <c r="BC153" s="173">
        <f t="shared" si="74"/>
        <v>76.53823088455772</v>
      </c>
      <c r="BD153" s="173">
        <f t="shared" si="74"/>
        <v>76.53823088455772</v>
      </c>
      <c r="BE153" s="173">
        <f t="shared" si="74"/>
        <v>76.53823088455772</v>
      </c>
      <c r="BF153" s="173">
        <f t="shared" si="74"/>
        <v>76.53823088455772</v>
      </c>
      <c r="BG153" s="173">
        <f t="shared" si="74"/>
        <v>76.53823088455772</v>
      </c>
      <c r="BH153" s="173">
        <f t="shared" si="74"/>
        <v>76.53823088455772</v>
      </c>
      <c r="BI153" s="173">
        <f t="shared" si="74"/>
        <v>76.53823088455772</v>
      </c>
      <c r="BJ153" s="173">
        <f t="shared" si="74"/>
        <v>76.53823088455772</v>
      </c>
      <c r="BK153" s="173">
        <f t="shared" si="74"/>
        <v>76.53823088455772</v>
      </c>
      <c r="BL153" s="173">
        <f t="shared" si="74"/>
        <v>76.53823088455772</v>
      </c>
      <c r="BM153" s="173">
        <f t="shared" si="74"/>
        <v>76.53823088455772</v>
      </c>
      <c r="BN153" s="173">
        <f t="shared" si="74"/>
        <v>76.53823088455772</v>
      </c>
      <c r="BO153" s="173">
        <f t="shared" si="74"/>
        <v>0</v>
      </c>
      <c r="BP153" s="173">
        <f t="shared" si="74"/>
        <v>0</v>
      </c>
      <c r="BQ153" s="173">
        <f t="shared" si="74"/>
        <v>76.53823088455772</v>
      </c>
      <c r="BR153" s="173">
        <f t="shared" si="74"/>
        <v>76.53823088455772</v>
      </c>
      <c r="BS153" s="173">
        <f t="shared" si="74"/>
        <v>76.53823088455772</v>
      </c>
      <c r="BY153" s="2"/>
      <c r="BZ153" s="189" t="str">
        <f t="shared" si="75"/>
        <v>genisses +1an</v>
      </c>
      <c r="CB153" s="173">
        <f t="shared" si="76"/>
        <v>9.5586206896551733</v>
      </c>
      <c r="CC153" s="173">
        <f t="shared" si="76"/>
        <v>9.5586206896551733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9.5586206896551733</v>
      </c>
      <c r="CY153" s="173">
        <f t="shared" si="76"/>
        <v>9.5586206896551733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9</v>
      </c>
      <c r="D154" s="263">
        <f t="shared" si="50"/>
        <v>8.5344827586206886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8.8313343328335829</v>
      </c>
      <c r="AW154" s="173">
        <f t="shared" si="74"/>
        <v>8.8313343328335829</v>
      </c>
      <c r="AX154" s="173">
        <f t="shared" si="74"/>
        <v>8.8313343328335829</v>
      </c>
      <c r="AY154" s="173">
        <f t="shared" si="74"/>
        <v>8.8313343328335829</v>
      </c>
      <c r="AZ154" s="173">
        <f t="shared" si="74"/>
        <v>8.8313343328335829</v>
      </c>
      <c r="BA154" s="173">
        <f t="shared" si="74"/>
        <v>8.8313343328335829</v>
      </c>
      <c r="BB154" s="173">
        <f t="shared" si="74"/>
        <v>8.8313343328335829</v>
      </c>
      <c r="BC154" s="173">
        <f t="shared" si="74"/>
        <v>8.8313343328335829</v>
      </c>
      <c r="BD154" s="173">
        <f t="shared" si="74"/>
        <v>8.8313343328335829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8.8313343328335829</v>
      </c>
      <c r="BP154" s="173">
        <f t="shared" si="74"/>
        <v>8.8313343328335829</v>
      </c>
      <c r="BQ154" s="173">
        <f t="shared" si="74"/>
        <v>8.8313343328335829</v>
      </c>
      <c r="BR154" s="173">
        <f t="shared" si="74"/>
        <v>8.8313343328335829</v>
      </c>
      <c r="BS154" s="173">
        <f t="shared" si="74"/>
        <v>8.8313343328335829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9</v>
      </c>
      <c r="D157" s="263">
        <f t="shared" si="50"/>
        <v>8.5344827586206886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407.71326836581704</v>
      </c>
      <c r="AW160" s="62">
        <f t="shared" ref="AW160:BS160" si="83">SUM(AW151:AW159)</f>
        <v>404.76949025487255</v>
      </c>
      <c r="AX160" s="62">
        <f t="shared" si="83"/>
        <v>401.825712143928</v>
      </c>
      <c r="AY160" s="62">
        <f t="shared" si="83"/>
        <v>400.35382308845573</v>
      </c>
      <c r="AZ160" s="62">
        <f t="shared" si="83"/>
        <v>398.88193403298351</v>
      </c>
      <c r="BA160" s="62">
        <f t="shared" si="83"/>
        <v>397.41004497751123</v>
      </c>
      <c r="BB160" s="62">
        <f t="shared" si="83"/>
        <v>395.93815592203896</v>
      </c>
      <c r="BC160" s="62">
        <f t="shared" si="83"/>
        <v>394.46626686656668</v>
      </c>
      <c r="BD160" s="62">
        <f t="shared" si="83"/>
        <v>391.52248875562219</v>
      </c>
      <c r="BE160" s="62">
        <f t="shared" si="83"/>
        <v>360.61281859070465</v>
      </c>
      <c r="BF160" s="62">
        <f t="shared" si="83"/>
        <v>360.61281859070465</v>
      </c>
      <c r="BG160" s="62">
        <f t="shared" si="83"/>
        <v>76.53823088455772</v>
      </c>
      <c r="BH160" s="62">
        <f t="shared" si="83"/>
        <v>76.53823088455772</v>
      </c>
      <c r="BI160" s="62">
        <f t="shared" si="83"/>
        <v>76.53823088455772</v>
      </c>
      <c r="BJ160" s="62">
        <f t="shared" si="83"/>
        <v>76.53823088455772</v>
      </c>
      <c r="BK160" s="62">
        <f t="shared" si="83"/>
        <v>76.53823088455772</v>
      </c>
      <c r="BL160" s="62">
        <f t="shared" si="83"/>
        <v>76.53823088455772</v>
      </c>
      <c r="BM160" s="62">
        <f t="shared" si="83"/>
        <v>76.53823088455772</v>
      </c>
      <c r="BN160" s="62">
        <f t="shared" si="83"/>
        <v>360.61281859070465</v>
      </c>
      <c r="BO160" s="62">
        <f t="shared" si="83"/>
        <v>347.36581709145429</v>
      </c>
      <c r="BP160" s="62">
        <f t="shared" si="83"/>
        <v>347.36581709145429</v>
      </c>
      <c r="BQ160" s="62">
        <f t="shared" si="83"/>
        <v>407.71326836581704</v>
      </c>
      <c r="BR160" s="62">
        <f t="shared" si="83"/>
        <v>407.71326836581704</v>
      </c>
      <c r="BS160" s="62">
        <f t="shared" si="83"/>
        <v>407.71326836581704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113.37981807691305</v>
      </c>
      <c r="D161" s="263">
        <f t="shared" si="50"/>
        <v>107.51534472810721</v>
      </c>
      <c r="AT161" s="189" t="s">
        <v>844</v>
      </c>
      <c r="AV161" s="173">
        <f>IF($AT$62="OL",AV160/50,AV160/10)</f>
        <v>8.1542653673163414</v>
      </c>
      <c r="AW161" s="173">
        <f t="shared" ref="AW161:BS161" si="86">IF($AT$62="OL",AW160/50,AW160/10)</f>
        <v>8.0953898050974509</v>
      </c>
      <c r="AX161" s="173">
        <f t="shared" si="86"/>
        <v>8.0365142428785603</v>
      </c>
      <c r="AY161" s="173">
        <f t="shared" si="86"/>
        <v>8.007076461769115</v>
      </c>
      <c r="AZ161" s="173">
        <f t="shared" si="86"/>
        <v>7.9776386806596697</v>
      </c>
      <c r="BA161" s="173">
        <f t="shared" si="86"/>
        <v>7.9482008995502245</v>
      </c>
      <c r="BB161" s="173">
        <f t="shared" si="86"/>
        <v>7.9187631184407792</v>
      </c>
      <c r="BC161" s="173">
        <f t="shared" si="86"/>
        <v>7.8893253373313339</v>
      </c>
      <c r="BD161" s="173">
        <f t="shared" si="86"/>
        <v>7.8304497751124442</v>
      </c>
      <c r="BE161" s="173">
        <f t="shared" si="86"/>
        <v>7.2122563718140933</v>
      </c>
      <c r="BF161" s="173">
        <f t="shared" si="86"/>
        <v>7.2122563718140933</v>
      </c>
      <c r="BG161" s="173">
        <f t="shared" si="86"/>
        <v>1.5307646176911545</v>
      </c>
      <c r="BH161" s="173">
        <f t="shared" si="86"/>
        <v>1.5307646176911545</v>
      </c>
      <c r="BI161" s="173">
        <f t="shared" si="86"/>
        <v>1.5307646176911545</v>
      </c>
      <c r="BJ161" s="173">
        <f t="shared" si="86"/>
        <v>1.5307646176911545</v>
      </c>
      <c r="BK161" s="173">
        <f t="shared" si="86"/>
        <v>1.5307646176911545</v>
      </c>
      <c r="BL161" s="173">
        <f t="shared" si="86"/>
        <v>1.5307646176911545</v>
      </c>
      <c r="BM161" s="173">
        <f t="shared" si="86"/>
        <v>1.5307646176911545</v>
      </c>
      <c r="BN161" s="173">
        <f t="shared" si="86"/>
        <v>7.2122563718140933</v>
      </c>
      <c r="BO161" s="173">
        <f t="shared" si="86"/>
        <v>6.9473163418290858</v>
      </c>
      <c r="BP161" s="173">
        <f t="shared" si="86"/>
        <v>6.9473163418290858</v>
      </c>
      <c r="BQ161" s="173">
        <f t="shared" si="86"/>
        <v>8.1542653673163414</v>
      </c>
      <c r="BR161" s="173">
        <f t="shared" si="86"/>
        <v>8.1542653673163414</v>
      </c>
      <c r="BS161" s="173">
        <f t="shared" si="86"/>
        <v>8.1542653673163414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139.70804136687397</v>
      </c>
      <c r="D162" s="263">
        <f t="shared" si="50"/>
        <v>132.4817633651391</v>
      </c>
      <c r="AT162" s="189" t="s">
        <v>846</v>
      </c>
      <c r="AV162" s="173">
        <f>IF(AV161&gt;1,AV161-1,0)</f>
        <v>7.1542653673163414</v>
      </c>
      <c r="AW162" s="173">
        <f t="shared" ref="AW162:BS162" si="89">IF(AW161&gt;1,AW161-1,0)</f>
        <v>7.0953898050974509</v>
      </c>
      <c r="AX162" s="173">
        <f t="shared" si="89"/>
        <v>7.0365142428785603</v>
      </c>
      <c r="AY162" s="173">
        <f t="shared" si="89"/>
        <v>7.007076461769115</v>
      </c>
      <c r="AZ162" s="173">
        <f t="shared" si="89"/>
        <v>6.9776386806596697</v>
      </c>
      <c r="BA162" s="173">
        <f t="shared" si="89"/>
        <v>6.9482008995502245</v>
      </c>
      <c r="BB162" s="173">
        <f t="shared" si="89"/>
        <v>6.9187631184407792</v>
      </c>
      <c r="BC162" s="173">
        <f t="shared" si="89"/>
        <v>6.8893253373313339</v>
      </c>
      <c r="BD162" s="173">
        <f t="shared" si="89"/>
        <v>6.8304497751124442</v>
      </c>
      <c r="BE162" s="173">
        <f t="shared" si="89"/>
        <v>6.2122563718140933</v>
      </c>
      <c r="BF162" s="173">
        <f t="shared" si="89"/>
        <v>6.2122563718140933</v>
      </c>
      <c r="BG162" s="173">
        <f t="shared" si="89"/>
        <v>0.53076461769115446</v>
      </c>
      <c r="BH162" s="173">
        <f t="shared" si="89"/>
        <v>0.53076461769115446</v>
      </c>
      <c r="BI162" s="173">
        <f t="shared" si="89"/>
        <v>0.53076461769115446</v>
      </c>
      <c r="BJ162" s="173">
        <f t="shared" si="89"/>
        <v>0.53076461769115446</v>
      </c>
      <c r="BK162" s="173">
        <f t="shared" si="89"/>
        <v>0.53076461769115446</v>
      </c>
      <c r="BL162" s="173">
        <f t="shared" si="89"/>
        <v>0.53076461769115446</v>
      </c>
      <c r="BM162" s="173">
        <f t="shared" si="89"/>
        <v>0.53076461769115446</v>
      </c>
      <c r="BN162" s="173">
        <f t="shared" si="89"/>
        <v>6.2122563718140933</v>
      </c>
      <c r="BO162" s="173">
        <f t="shared" si="89"/>
        <v>5.9473163418290858</v>
      </c>
      <c r="BP162" s="173">
        <f t="shared" si="89"/>
        <v>5.9473163418290858</v>
      </c>
      <c r="BQ162" s="173">
        <f t="shared" si="89"/>
        <v>7.1542653673163414</v>
      </c>
      <c r="BR162" s="173">
        <f t="shared" si="89"/>
        <v>7.1542653673163414</v>
      </c>
      <c r="BS162" s="173">
        <f t="shared" si="89"/>
        <v>7.1542653673163414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54.519964392803601</v>
      </c>
      <c r="AW163" s="62">
        <f t="shared" ref="AW163:BS163" si="92">AW147+AW148*AW162</f>
        <v>54.416932158920538</v>
      </c>
      <c r="AX163" s="62">
        <f t="shared" si="92"/>
        <v>54.313899925037482</v>
      </c>
      <c r="AY163" s="62">
        <f t="shared" si="92"/>
        <v>54.262383808095947</v>
      </c>
      <c r="AZ163" s="62">
        <f t="shared" si="92"/>
        <v>54.210867691154419</v>
      </c>
      <c r="BA163" s="62">
        <f t="shared" si="92"/>
        <v>54.159351574212891</v>
      </c>
      <c r="BB163" s="62">
        <f t="shared" si="92"/>
        <v>54.107835457271364</v>
      </c>
      <c r="BC163" s="62">
        <f t="shared" si="92"/>
        <v>54.056319340329836</v>
      </c>
      <c r="BD163" s="62">
        <f t="shared" si="92"/>
        <v>53.95328710644678</v>
      </c>
      <c r="BE163" s="62">
        <f t="shared" si="92"/>
        <v>31.871448650674665</v>
      </c>
      <c r="BF163" s="62">
        <f t="shared" si="92"/>
        <v>31.871448650674665</v>
      </c>
      <c r="BG163" s="62">
        <f t="shared" si="92"/>
        <v>21.928838080959519</v>
      </c>
      <c r="BH163" s="62">
        <f t="shared" si="92"/>
        <v>21.928838080959519</v>
      </c>
      <c r="BI163" s="62">
        <f t="shared" si="92"/>
        <v>21.928838080959519</v>
      </c>
      <c r="BJ163" s="62">
        <f t="shared" si="92"/>
        <v>21.928838080959519</v>
      </c>
      <c r="BK163" s="62">
        <f t="shared" si="92"/>
        <v>21.928838080959519</v>
      </c>
      <c r="BL163" s="62">
        <f t="shared" si="92"/>
        <v>21.928838080959519</v>
      </c>
      <c r="BM163" s="62">
        <f t="shared" si="92"/>
        <v>21.928838080959519</v>
      </c>
      <c r="BN163" s="62">
        <f t="shared" si="92"/>
        <v>31.871448650674665</v>
      </c>
      <c r="BO163" s="62">
        <f t="shared" si="92"/>
        <v>52.4078035982009</v>
      </c>
      <c r="BP163" s="62">
        <f t="shared" si="92"/>
        <v>52.4078035982009</v>
      </c>
      <c r="BQ163" s="62">
        <f t="shared" si="92"/>
        <v>54.519964392803601</v>
      </c>
      <c r="BR163" s="62">
        <f t="shared" si="92"/>
        <v>54.519964392803601</v>
      </c>
      <c r="BS163" s="62">
        <f t="shared" si="92"/>
        <v>54.519964392803601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61.430435325000026</v>
      </c>
      <c r="D165" s="263">
        <f t="shared" si="50"/>
        <v>58.252999015086225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43.594451642909995</v>
      </c>
      <c r="D166" s="263">
        <f t="shared" si="50"/>
        <v>41.339566213104305</v>
      </c>
      <c r="AT166" s="147" t="s">
        <v>853</v>
      </c>
      <c r="AU166" s="17">
        <f>VLOOKUP(AU120,[1]Trav!$B$12:$C$31,2)</f>
        <v>10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11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>
        <f>VLOOKUP(DD120,[1]Trav!$B$12:$C$31,2)</f>
        <v>9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21</v>
      </c>
      <c r="CM167" s="190">
        <f>IF(CM121&gt;0,HLOOKUP(CM121,[1]Trav!$C$11:$O$31,$AU$166),0)</f>
        <v>21</v>
      </c>
      <c r="CN167" s="190">
        <f>IF(CN121&gt;0,HLOOKUP(CN121,[1]Trav!$C$11:$O$31,$AU$166),0)</f>
        <v>21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28</v>
      </c>
      <c r="CR167" s="190">
        <f>IF(CR121&gt;0,HLOOKUP(CR121,[1]Trav!$C$11:$O$31,$AU$166),0)</f>
        <v>28</v>
      </c>
      <c r="CS167" s="190">
        <f>IF(CS121&gt;0,HLOOKUP(CS121,[1]Trav!$C$11:$O$31,$AU$166),0)</f>
        <v>28</v>
      </c>
      <c r="CT167" s="190">
        <f>IF(CT121&gt;0,HLOOKUP(CT121,[1]Trav!$C$11:$O$31,$AU$166),0)</f>
        <v>14</v>
      </c>
      <c r="CU167" s="190">
        <f>IF(CU121&gt;0,HLOOKUP(CU121,[1]Trav!$C$11:$O$31,$AU$166),0)</f>
        <v>14</v>
      </c>
      <c r="CV167" s="190">
        <f>IF(CV121&gt;0,HLOOKUP(CV121,[1]Trav!$C$11:$O$31,$AU$166),0)</f>
        <v>14</v>
      </c>
      <c r="CW167" s="190">
        <f>IF(CW121&gt;0,HLOOKUP(CW121,[1]Trav!$C$11:$O$31,$AU$166),0)</f>
        <v>14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21</v>
      </c>
      <c r="AW168" s="190">
        <f>IF(AW122&gt;0,HLOOKUP(AW122,[1]Trav!$C$11:$O$31,$AU$166),0)</f>
        <v>21</v>
      </c>
      <c r="AX168" s="190">
        <f>IF(AX122&gt;0,HLOOKUP(AX122,[1]Trav!$C$11:$O$31,$AU$166),0)</f>
        <v>21</v>
      </c>
      <c r="AY168" s="190">
        <f>IF(AY122&gt;0,HLOOKUP(AY122,[1]Trav!$C$11:$O$31,$AU$166),0)</f>
        <v>21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21</v>
      </c>
      <c r="BS168" s="190">
        <f>IF(BS122&gt;0,HLOOKUP(BS122,[1]Trav!$C$11:$O$31,$AU$166),0)</f>
        <v>21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28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136.10990000000001</v>
      </c>
      <c r="D169" s="263">
        <f t="shared" si="50"/>
        <v>129.06973275862069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125.86736665147825</v>
      </c>
      <c r="D170" s="263">
        <f t="shared" si="50"/>
        <v>119.35698561778111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117.30712</v>
      </c>
      <c r="D171" s="263">
        <f t="shared" si="50"/>
        <v>111.23951034482759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170.1</v>
      </c>
      <c r="D172" s="263">
        <f t="shared" si="50"/>
        <v>161.30172413793102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10.242533348521761</v>
      </c>
      <c r="D173" s="263">
        <f t="shared" si="50"/>
        <v>9.7127471408395998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92.5</v>
      </c>
      <c r="D174" s="263">
        <f t="shared" si="50"/>
        <v>87.715517241379303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-52.792879999999997</v>
      </c>
      <c r="D175" s="263">
        <f>C175*$D$82/$C$82</f>
        <v>-50.062213793103446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52.792879999999997</v>
      </c>
      <c r="D176" s="263">
        <f>C176*$D$82/$C$82</f>
        <v>50.062213793103446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82</v>
      </c>
      <c r="D178" s="173">
        <f>ROUND((D170+D171)/(D170+D172),2)*100</f>
        <v>82</v>
      </c>
      <c r="AT178" s="40" t="s">
        <v>865</v>
      </c>
      <c r="AV178" s="173">
        <f>SUM(AV167:AV176)</f>
        <v>21</v>
      </c>
      <c r="AW178" s="173">
        <f t="shared" ref="AW178:BS178" si="98">SUM(AW167:AW176)</f>
        <v>21</v>
      </c>
      <c r="AX178" s="173">
        <f t="shared" si="98"/>
        <v>21</v>
      </c>
      <c r="AY178" s="173">
        <f t="shared" si="98"/>
        <v>35</v>
      </c>
      <c r="AZ178" s="173">
        <f t="shared" si="98"/>
        <v>35</v>
      </c>
      <c r="BA178" s="173">
        <f t="shared" si="98"/>
        <v>35</v>
      </c>
      <c r="BB178" s="173">
        <f t="shared" si="98"/>
        <v>35</v>
      </c>
      <c r="BC178" s="173">
        <f t="shared" si="98"/>
        <v>35</v>
      </c>
      <c r="BD178" s="173">
        <f t="shared" si="98"/>
        <v>35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35</v>
      </c>
      <c r="BP178" s="173">
        <f t="shared" si="98"/>
        <v>21</v>
      </c>
      <c r="BQ178" s="173">
        <f t="shared" si="98"/>
        <v>21</v>
      </c>
      <c r="BR178" s="173">
        <f t="shared" si="98"/>
        <v>21</v>
      </c>
      <c r="BS178" s="173">
        <f t="shared" si="98"/>
        <v>21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56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49</v>
      </c>
      <c r="CM178" s="173">
        <f t="shared" si="99"/>
        <v>49</v>
      </c>
      <c r="CN178" s="173">
        <f t="shared" si="99"/>
        <v>49</v>
      </c>
      <c r="CO178" s="173">
        <f t="shared" si="99"/>
        <v>49</v>
      </c>
      <c r="CP178" s="173">
        <f t="shared" si="99"/>
        <v>49</v>
      </c>
      <c r="CQ178" s="173">
        <f t="shared" si="99"/>
        <v>56</v>
      </c>
      <c r="CR178" s="173">
        <f t="shared" si="99"/>
        <v>56</v>
      </c>
      <c r="CS178" s="173">
        <f t="shared" si="99"/>
        <v>56</v>
      </c>
      <c r="CT178" s="173">
        <f t="shared" si="99"/>
        <v>42</v>
      </c>
      <c r="CU178" s="173">
        <f t="shared" si="99"/>
        <v>40.25</v>
      </c>
      <c r="CV178" s="173">
        <f t="shared" si="99"/>
        <v>33.25</v>
      </c>
      <c r="CW178" s="173">
        <f t="shared" si="99"/>
        <v>33.25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62.6</v>
      </c>
      <c r="D179" s="263">
        <f>C179*$D$82/$C$82</f>
        <v>59.362068965517238</v>
      </c>
    </row>
    <row r="180" spans="1:132" x14ac:dyDescent="0.25">
      <c r="B180" s="14" t="s">
        <v>1290</v>
      </c>
      <c r="C180" s="173">
        <f>SUM('Calcul éco'!D19:D21)</f>
        <v>9</v>
      </c>
      <c r="D180" s="263">
        <f>C180*$D$82/$C$82</f>
        <v>8.5344827586206886</v>
      </c>
    </row>
    <row r="181" spans="1:132" x14ac:dyDescent="0.25">
      <c r="B181" s="14" t="s">
        <v>1291</v>
      </c>
      <c r="C181" s="173">
        <f>ROUND(C180/C179,2)*100</f>
        <v>14.000000000000002</v>
      </c>
      <c r="D181" s="173">
        <f>ROUND(D180/D179,2)*100</f>
        <v>14.000000000000002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8221</v>
      </c>
      <c r="D183" s="264">
        <f>ROUND(D184*D185,0)</f>
        <v>7792</v>
      </c>
      <c r="E183" s="17" t="s">
        <v>1295</v>
      </c>
    </row>
    <row r="184" spans="1:132" x14ac:dyDescent="0.25">
      <c r="B184" s="14" t="s">
        <v>1296</v>
      </c>
      <c r="C184" s="173">
        <f>Protection!AK26</f>
        <v>33</v>
      </c>
      <c r="D184" s="265">
        <f>C184*D82/C82</f>
        <v>31.293103448275861</v>
      </c>
    </row>
    <row r="185" spans="1:132" x14ac:dyDescent="0.25">
      <c r="B185" s="14" t="s">
        <v>1297</v>
      </c>
      <c r="C185" s="173">
        <f>IF(C183=0,0,ROUND(C183/C184,0))</f>
        <v>249</v>
      </c>
      <c r="D185" s="173">
        <f>C185</f>
        <v>249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0.33333333333333331</v>
      </c>
      <c r="D187" s="173">
        <f>C187</f>
        <v>0.33333333333333331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6</v>
      </c>
      <c r="D189" s="173">
        <f t="shared" si="101"/>
        <v>6</v>
      </c>
      <c r="AH189" s="15"/>
      <c r="AJ189" s="14" t="s">
        <v>1114</v>
      </c>
      <c r="AK189" s="30">
        <f>D189</f>
        <v>6</v>
      </c>
      <c r="AO189" s="173">
        <f>ROUND((([1]Protect!$B$5/[1]Protect!$B$11)+[1]Protect!$B$8)*AK189,0)</f>
        <v>5426</v>
      </c>
    </row>
    <row r="190" spans="1:132" x14ac:dyDescent="0.25">
      <c r="B190" s="14" t="s">
        <v>1302</v>
      </c>
      <c r="C190" s="173">
        <f>'Calcul éco'!T246*(30)</f>
        <v>34.999999999999993</v>
      </c>
      <c r="D190" s="173">
        <f>C190</f>
        <v>34.999999999999993</v>
      </c>
      <c r="AH190" s="15"/>
      <c r="AJ190" s="14" t="s">
        <v>1115</v>
      </c>
      <c r="AK190" s="30">
        <f>D190/30</f>
        <v>1.1666666666666665</v>
      </c>
      <c r="AN190" s="173">
        <f>[1]Eco!$B$106*[1]Eco!$B$108*[1]Eco!$B$109</f>
        <v>2551.2000000000003</v>
      </c>
      <c r="AO190" s="173">
        <f>AK190*AN190</f>
        <v>2976.4</v>
      </c>
    </row>
    <row r="191" spans="1:132" x14ac:dyDescent="0.25">
      <c r="B191" s="14" t="s">
        <v>1303</v>
      </c>
      <c r="C191" s="198">
        <f>ROUND(SUM(Travail!F69:F74)/8,1)</f>
        <v>21.3</v>
      </c>
      <c r="D191" s="173">
        <f>C191</f>
        <v>21.3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32.666666666666664</v>
      </c>
      <c r="AN191" s="173">
        <f>[1]Eco!$B$111</f>
        <v>28.3</v>
      </c>
      <c r="AO191" s="173">
        <f>AK191*AN191</f>
        <v>924.46666666666658</v>
      </c>
    </row>
    <row r="192" spans="1:132" x14ac:dyDescent="0.25">
      <c r="B192" s="14" t="s">
        <v>1307</v>
      </c>
      <c r="C192" s="173">
        <f>(Travail!F83+Travail!F84)/8</f>
        <v>1.1625000000000001</v>
      </c>
      <c r="D192" s="266">
        <f>ROUND((D183/1000)*([1]Protect!$B$25*8/10+[1]Protect!$B$26),2)/8</f>
        <v>1.1000000000000001</v>
      </c>
      <c r="E192" s="17" t="s">
        <v>1308</v>
      </c>
      <c r="I192" s="5"/>
      <c r="AN192" s="14" t="s">
        <v>1117</v>
      </c>
      <c r="AO192" s="173">
        <f>SUM(AO189:AO191)</f>
        <v>9326.8666666666668</v>
      </c>
    </row>
    <row r="193" spans="1:43" x14ac:dyDescent="0.25">
      <c r="B193" s="14" t="s">
        <v>1309</v>
      </c>
      <c r="C193" s="173">
        <f>(Travail!F75+Travail!F76+Travail!F81)/8</f>
        <v>17.0625</v>
      </c>
      <c r="D193" s="173">
        <f>C193</f>
        <v>17.0625</v>
      </c>
      <c r="I193" s="32" t="s">
        <v>1310</v>
      </c>
      <c r="J193" s="5">
        <f>D65</f>
        <v>19.914000000000001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338.53399999999999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74239</v>
      </c>
      <c r="D194" s="261">
        <f>ROUND(C194*D$82/C$82,0)</f>
        <v>70399</v>
      </c>
      <c r="I194" s="32" t="s">
        <v>1315</v>
      </c>
      <c r="J194" s="5">
        <f>J193/IF(Scénario!K2="Exploit. Ind.",1,Scénario!K3)</f>
        <v>19.914000000000001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338.53399999999999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50297</v>
      </c>
      <c r="D195" s="261">
        <f t="shared" ref="D195:D200" si="102">ROUND(C195*D$82/C$82,0)</f>
        <v>47695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éco'!K9:K15)+'Calcul éco'!K16,0)</f>
        <v>8697</v>
      </c>
      <c r="D197" s="261">
        <f t="shared" si="102"/>
        <v>8247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19.914000000000001</v>
      </c>
      <c r="J198" s="173">
        <f>H198*I198</f>
        <v>3305.7240000000002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338.53399999999999</v>
      </c>
      <c r="W198" s="214">
        <f>U198*V198</f>
        <v>8226.3762000000006</v>
      </c>
      <c r="AI198" s="40" t="s">
        <v>1120</v>
      </c>
      <c r="AJ198" s="4">
        <f>IF(Troupeau!B3="OL",L223,0)*Scénario!K56</f>
        <v>796.55172413793105</v>
      </c>
      <c r="AO198" s="40" t="s">
        <v>1121</v>
      </c>
      <c r="AP198">
        <f>IF(Troupeau!B3="OL",D63,0)</f>
        <v>338.53399999999999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13445</v>
      </c>
      <c r="D199" s="261">
        <f t="shared" si="102"/>
        <v>12750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8226.3762000000006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3486</v>
      </c>
      <c r="D201" s="264">
        <f>J201</f>
        <v>3305.7240000000002</v>
      </c>
      <c r="E201" s="17" t="s">
        <v>1324</v>
      </c>
      <c r="I201" s="40" t="s">
        <v>949</v>
      </c>
      <c r="J201" s="62">
        <f>SUM(J198:J200)*IF(Scénario!K2="Exploit. Ind.",1,Scénario!K3)</f>
        <v>3305.7240000000002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1</v>
      </c>
      <c r="AK202" s="173">
        <f>IF(AJ202=0,0,[1]Protect!B78)</f>
        <v>20000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8675.1</v>
      </c>
      <c r="D203" s="264">
        <f>ROUND(W200,0)</f>
        <v>8226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33.19</v>
      </c>
      <c r="K205" s="173">
        <v>1</v>
      </c>
      <c r="L205" s="173">
        <f>J205*K205</f>
        <v>33.19</v>
      </c>
      <c r="T205" s="5"/>
      <c r="U205" s="5"/>
      <c r="V205" s="36"/>
      <c r="W205" s="5"/>
      <c r="X205" s="14" t="s">
        <v>966</v>
      </c>
      <c r="Y205" s="190">
        <f>'Calcul éco'!AC36</f>
        <v>245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10423</v>
      </c>
      <c r="D206" s="261">
        <f>ROUND(C206*D$82/C$82,0)</f>
        <v>9884</v>
      </c>
      <c r="I206" s="14" t="s">
        <v>270</v>
      </c>
      <c r="J206" s="173">
        <f>D80</f>
        <v>5.31</v>
      </c>
      <c r="K206" s="173">
        <f>[1]Eco!$B$22/100</f>
        <v>0.6</v>
      </c>
      <c r="L206" s="173">
        <f t="shared" ref="L206" si="104">J206*K206</f>
        <v>3.1859999999999995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315</v>
      </c>
      <c r="Z207" s="173">
        <f>X207*Y207</f>
        <v>7875</v>
      </c>
      <c r="AF207" s="23" t="s">
        <v>1133</v>
      </c>
      <c r="AL207" s="173">
        <f>IF(Scénario!K84=2,AL209,IF(Scénario!K84=1,AL208,0))</f>
        <v>9326.8666666666668</v>
      </c>
      <c r="AQ207" s="5"/>
    </row>
    <row r="208" spans="1:43" x14ac:dyDescent="0.25">
      <c r="B208" s="211" t="s">
        <v>987</v>
      </c>
      <c r="C208" s="173">
        <f>ROUND('Calcul éco'!J44,0)</f>
        <v>7199</v>
      </c>
      <c r="D208" s="261">
        <f>ROUND(C208*D$82/C$82,0)</f>
        <v>6827</v>
      </c>
      <c r="S208" s="14" t="s">
        <v>978</v>
      </c>
      <c r="T208" s="30">
        <f>L212</f>
        <v>101.89237931034484</v>
      </c>
      <c r="W208" s="14" t="s">
        <v>979</v>
      </c>
      <c r="X208" s="173">
        <f>IF(T208&gt;50,25,IF(T208&gt;25,T208-25,0))</f>
        <v>25</v>
      </c>
      <c r="Y208" s="173">
        <f>Y209+0.66*Y205</f>
        <v>231.70000000000002</v>
      </c>
      <c r="Z208" s="173">
        <f t="shared" ref="Z208:Z209" si="105">X208*Y208</f>
        <v>5792.5</v>
      </c>
      <c r="AF208" s="5"/>
      <c r="AK208" s="14" t="s">
        <v>1134</v>
      </c>
      <c r="AL208" s="173">
        <f>IF(AO192&lt;SUM(AK200:AK204),AO192,SUM(AK200:AK204))</f>
        <v>9326.8666666666668</v>
      </c>
      <c r="AQ208" s="245"/>
    </row>
    <row r="209" spans="1:43" x14ac:dyDescent="0.25">
      <c r="B209" s="19" t="s">
        <v>989</v>
      </c>
      <c r="C209" s="173">
        <f>ROUND('Calcul éco'!J45,0)</f>
        <v>15418</v>
      </c>
      <c r="D209" s="264">
        <f>IF(Scénario!K9=0,0,ROUND(Z210,0))</f>
        <v>15418</v>
      </c>
      <c r="E209" s="17" t="s">
        <v>1327</v>
      </c>
      <c r="K209" s="40" t="s">
        <v>988</v>
      </c>
      <c r="L209" s="62">
        <f>SUM(L205:L206)</f>
        <v>36.375999999999998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9326.8666666666668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7462</v>
      </c>
      <c r="D210" s="264">
        <f>ROUND(AL207,0)</f>
        <v>9327</v>
      </c>
      <c r="E210" s="17" t="s">
        <v>1329</v>
      </c>
      <c r="K210" s="14" t="s">
        <v>990</v>
      </c>
      <c r="L210" s="173">
        <f>J221</f>
        <v>65.516379310344831</v>
      </c>
      <c r="Y210" s="40" t="s">
        <v>949</v>
      </c>
      <c r="Z210" s="62">
        <f>SUM(Z207:Z209)*IF(Scénario!K2="Exploit. Ind.",1,Scénario!K3)</f>
        <v>15417.5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55211.1</v>
      </c>
      <c r="D211" s="264">
        <f>ROUND(SUM(D201:D210),0)</f>
        <v>55536</v>
      </c>
      <c r="E211" s="17" t="s">
        <v>1331</v>
      </c>
      <c r="K211" s="40" t="s">
        <v>995</v>
      </c>
      <c r="L211" s="62">
        <f>L209+L210</f>
        <v>101.89237931034484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31365</v>
      </c>
      <c r="D212" s="261">
        <f>ROUND(C212*D$82/C$82,0)</f>
        <v>29743</v>
      </c>
      <c r="K212" s="40" t="s">
        <v>1334</v>
      </c>
      <c r="L212" s="62">
        <f>L211/IF(Scénario!K2="Exploit. Ind.",1,Scénario!K3)</f>
        <v>101.89237931034484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8857.7999999999993</v>
      </c>
      <c r="D214" s="261">
        <f t="shared" si="106"/>
        <v>8400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40223</v>
      </c>
      <c r="D216" s="261">
        <f t="shared" si="106"/>
        <v>38143</v>
      </c>
      <c r="G216" s="14" t="s">
        <v>568</v>
      </c>
      <c r="H216" s="14" t="str">
        <f>Troupeau!B3</f>
        <v>OL</v>
      </c>
      <c r="I216" s="30">
        <f>'Calcul éco'!S50</f>
        <v>147</v>
      </c>
      <c r="J216" s="48">
        <f>I216*D$82/C$82</f>
        <v>139.39655172413794</v>
      </c>
      <c r="K216" s="223"/>
      <c r="L216" s="223"/>
      <c r="AF216" s="5"/>
      <c r="AI216" s="14" t="s">
        <v>1140</v>
      </c>
      <c r="AJ216" s="173">
        <f>D183*[1]Protect!$B$17/100</f>
        <v>116.88</v>
      </c>
      <c r="AK216" s="173"/>
      <c r="AL216" s="173"/>
      <c r="AM216" s="173">
        <f>'Calcul éco'!W272</f>
        <v>6</v>
      </c>
      <c r="AN216" s="173">
        <f>AJ216*AM216</f>
        <v>701.28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3427.1279999999997</v>
      </c>
      <c r="D217" s="261">
        <f t="shared" si="106"/>
        <v>3250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16086.01224</v>
      </c>
      <c r="D218" s="261">
        <f t="shared" si="106"/>
        <v>15254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0.66666666666666663</v>
      </c>
      <c r="AK218" s="173"/>
      <c r="AL218" s="173"/>
      <c r="AM218" s="173">
        <f>'Calcul éco'!W274</f>
        <v>100</v>
      </c>
      <c r="AN218" s="173">
        <f>AJ218*AM218</f>
        <v>66.666666666666657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5426</v>
      </c>
      <c r="D219" s="261">
        <f t="shared" si="106"/>
        <v>5145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806.55666666666662</v>
      </c>
      <c r="D220" s="264">
        <f>SUM(AN215:AN219)</f>
        <v>767.9466666666666</v>
      </c>
      <c r="E220" s="17" t="s">
        <v>1345</v>
      </c>
      <c r="H220" s="14" t="s">
        <v>1000</v>
      </c>
      <c r="I220" s="30">
        <f>SUM(I216:I219)</f>
        <v>147</v>
      </c>
      <c r="J220" s="30">
        <f>SUM(J216:J219)</f>
        <v>139.39655172413794</v>
      </c>
    </row>
    <row r="221" spans="1:43" x14ac:dyDescent="0.25">
      <c r="B221" s="14" t="s">
        <v>1346</v>
      </c>
      <c r="C221" s="173">
        <f>ROUND(SUM(C216:C220),0)</f>
        <v>65969</v>
      </c>
      <c r="D221" s="264">
        <f>ROUND(SUM(D216:D220),0)</f>
        <v>62560</v>
      </c>
      <c r="E221" s="17" t="s">
        <v>1345</v>
      </c>
      <c r="H221" s="14" t="s">
        <v>1001</v>
      </c>
      <c r="I221" s="30">
        <f>I220*[1]Eco!$B$25</f>
        <v>69.089999999999989</v>
      </c>
      <c r="J221" s="30">
        <f>J220*[1]Eco!$B$25</f>
        <v>65.516379310344831</v>
      </c>
    </row>
    <row r="222" spans="1:43" x14ac:dyDescent="0.25">
      <c r="A222" s="2" t="s">
        <v>1067</v>
      </c>
      <c r="B222" s="14" t="s">
        <v>1347</v>
      </c>
      <c r="C222" s="173">
        <f>'Calcul éco'!J149</f>
        <v>3027.5</v>
      </c>
      <c r="D222" s="261">
        <f>ROUND(C222*D$82/C$82,0)</f>
        <v>2871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280</v>
      </c>
      <c r="L223" s="30">
        <f>K223*'Synthèse résultats'!D$82/'Synthèse résultats'!C$82</f>
        <v>265.51724137931035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7792</v>
      </c>
      <c r="AL225" t="s">
        <v>1101</v>
      </c>
      <c r="AM225" s="173"/>
      <c r="AN225" s="173">
        <f>[1]Protect!$B$4</f>
        <v>6</v>
      </c>
      <c r="AO225" s="173">
        <f>AK225*AN225</f>
        <v>46752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12293</v>
      </c>
      <c r="G226" s="14"/>
      <c r="H226" s="14"/>
      <c r="AJ226" s="14" t="s">
        <v>1102</v>
      </c>
      <c r="AK226" s="30">
        <f>D187</f>
        <v>0.33333333333333331</v>
      </c>
      <c r="AN226" s="173">
        <f>[1]Protect!$B$83</f>
        <v>2000</v>
      </c>
      <c r="AO226" s="173">
        <f t="shared" ref="AO226:AO227" si="108">AK226*AN226</f>
        <v>666.66666666666663</v>
      </c>
    </row>
    <row r="227" spans="1:49" x14ac:dyDescent="0.25">
      <c r="B227" s="14" t="s">
        <v>1076</v>
      </c>
      <c r="C227" s="173">
        <f>'Calcul éco'!J154</f>
        <v>13565.999999999998</v>
      </c>
      <c r="D227" s="261">
        <f t="shared" ref="D227:D233" si="109">ROUND(C227*D$82/C$82,0)</f>
        <v>12864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47418.666666666664</v>
      </c>
      <c r="AQ228" s="30">
        <f>IF(Scénario!K84=1,MIN(0.8*AO228,[1]Protect!$B$68),IF(Scénario!K84=2,MIN(0.8*AO228,[1]Protect!$B$67),0))</f>
        <v>15500</v>
      </c>
      <c r="AR228" s="30">
        <f>AO228-AQ228</f>
        <v>31918.666666666664</v>
      </c>
      <c r="AS228" s="30">
        <f>(1-Scénario!K127/100)*AR228</f>
        <v>31918.666666666664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-289.60000000000002</v>
      </c>
      <c r="D230" s="261">
        <f t="shared" si="109"/>
        <v>-275</v>
      </c>
    </row>
    <row r="231" spans="1:49" x14ac:dyDescent="0.25">
      <c r="B231" s="14" t="s">
        <v>1083</v>
      </c>
      <c r="C231" s="173">
        <f>'Calcul éco'!J159</f>
        <v>47.999999999999986</v>
      </c>
      <c r="D231" s="261">
        <f t="shared" si="109"/>
        <v>46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2976.3999999999996</v>
      </c>
      <c r="D234" s="173">
        <f>C234</f>
        <v>2976.3999999999996</v>
      </c>
    </row>
    <row r="235" spans="1:49" x14ac:dyDescent="0.25">
      <c r="B235" s="14" t="s">
        <v>1353</v>
      </c>
      <c r="C235" s="173">
        <f>'Calcul éco'!J167</f>
        <v>3096.5190000000002</v>
      </c>
      <c r="D235" s="264">
        <f>(D191+D192)*8*[1]Eco!$B$106</f>
        <v>1904.8960000000004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41539</v>
      </c>
      <c r="D236" s="264">
        <f>ROUND(SUM(D222:D235),0)</f>
        <v>38830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21942.100000000006</v>
      </c>
      <c r="D237" s="264">
        <f>D194+D211-D221-D236</f>
        <v>24545</v>
      </c>
    </row>
    <row r="238" spans="1:49" x14ac:dyDescent="0.25">
      <c r="B238" s="211" t="s">
        <v>1090</v>
      </c>
      <c r="C238" s="173">
        <f>ROUND(C237/Scénario!$K$4,0)</f>
        <v>14628</v>
      </c>
      <c r="D238" s="264">
        <f>ROUND(D237/D83,0)</f>
        <v>12273</v>
      </c>
    </row>
    <row r="239" spans="1:49" x14ac:dyDescent="0.25">
      <c r="B239" s="211" t="s">
        <v>1091</v>
      </c>
      <c r="C239" s="173">
        <f>'Calcul éco'!B177</f>
        <v>13000</v>
      </c>
      <c r="D239" s="264">
        <f>C239</f>
        <v>13000</v>
      </c>
    </row>
    <row r="240" spans="1:49" x14ac:dyDescent="0.25">
      <c r="B240" s="211" t="s">
        <v>1092</v>
      </c>
      <c r="C240" s="267">
        <f>'Calcul éco'!B178</f>
        <v>4252.6334457979556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4689</v>
      </c>
      <c r="D241" s="268">
        <f>ROUND(D237-D239-D240,0)</f>
        <v>11545</v>
      </c>
    </row>
    <row r="242" spans="1:15" x14ac:dyDescent="0.25">
      <c r="B242" s="211" t="s">
        <v>1094</v>
      </c>
      <c r="C242" s="173">
        <f>ROUND(C241/Scénario!K4,0)</f>
        <v>3126</v>
      </c>
      <c r="D242" s="264">
        <f>ROUND(D241/D83,0)</f>
        <v>5773</v>
      </c>
    </row>
    <row r="243" spans="1:15" x14ac:dyDescent="0.25">
      <c r="B243" s="211" t="s">
        <v>1357</v>
      </c>
      <c r="C243" s="173">
        <f>'Calcul éco'!X237+'Calcul éco'!X240</f>
        <v>49992.666666666664</v>
      </c>
      <c r="D243" s="173">
        <f>C243</f>
        <v>49992.666666666664</v>
      </c>
    </row>
    <row r="244" spans="1:15" x14ac:dyDescent="0.25">
      <c r="B244" s="211" t="s">
        <v>1358</v>
      </c>
      <c r="C244" s="173">
        <f>'Calcul éco'!AA237+'Calcul éco'!AA240</f>
        <v>34492.666666666664</v>
      </c>
      <c r="D244" s="173">
        <f>C244</f>
        <v>34492.666666666664</v>
      </c>
    </row>
    <row r="245" spans="1:15" x14ac:dyDescent="0.25">
      <c r="A245" s="2" t="s">
        <v>1359</v>
      </c>
      <c r="B245" s="14" t="s">
        <v>568</v>
      </c>
      <c r="C245" s="270">
        <f>Travail!F5</f>
        <v>574</v>
      </c>
      <c r="D245" s="173">
        <f>C245</f>
        <v>574</v>
      </c>
    </row>
    <row r="246" spans="1:15" x14ac:dyDescent="0.25">
      <c r="B246" s="14" t="s">
        <v>601</v>
      </c>
      <c r="C246" s="270">
        <f>Travail!F6</f>
        <v>181.65</v>
      </c>
      <c r="D246" s="173">
        <f t="shared" ref="D246:D247" si="112">C246</f>
        <v>181.65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1019.1012391304353</v>
      </c>
      <c r="D248" s="264">
        <f>ROUND(SUM(AV163:BS163),1)</f>
        <v>1005.5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261.33333333333331</v>
      </c>
      <c r="D251" s="173">
        <f>C251</f>
        <v>261.33333333333331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1</v>
      </c>
      <c r="L253" s="190">
        <f>IF(K253&gt;[1]Trav!$E$116,[1]Trav!C116,[1]Trav!B116)</f>
        <v>11</v>
      </c>
      <c r="M253" s="5"/>
      <c r="N253" s="274"/>
      <c r="O253">
        <f>K253*L253</f>
        <v>11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0.94799999999999995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14.883599999999998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2.1335000000000002</v>
      </c>
      <c r="L255" s="190">
        <f>IF(K255&gt;[1]Trav!E118,[1]Trav!C118,[1]Trav!B118)</f>
        <v>3.7</v>
      </c>
      <c r="N255" s="274"/>
      <c r="O255">
        <f t="shared" si="114"/>
        <v>7.8939500000000011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601.33333333333337</v>
      </c>
      <c r="D257" s="261">
        <f>ROUND(C257*D$82/C$82,0)</f>
        <v>570</v>
      </c>
      <c r="E257" s="17" t="s">
        <v>1360</v>
      </c>
      <c r="J257" s="32" t="s">
        <v>789</v>
      </c>
      <c r="K257" s="173">
        <f>D72+D73+D75</f>
        <v>31.292999999999999</v>
      </c>
      <c r="L257" s="190">
        <f>IF(K257&gt;[1]Trav!E119,[1]Trav!C119,[1]Trav!B119)</f>
        <v>1.4</v>
      </c>
      <c r="N257" s="274"/>
      <c r="O257">
        <f t="shared" si="114"/>
        <v>43.810199999999995</v>
      </c>
    </row>
    <row r="258" spans="1:15" x14ac:dyDescent="0.25">
      <c r="A258" s="2"/>
      <c r="B258" s="14" t="s">
        <v>601</v>
      </c>
      <c r="C258" s="270">
        <f>Travail!F32</f>
        <v>102</v>
      </c>
      <c r="D258" s="261">
        <f t="shared" ref="D258:D259" si="115">ROUND(C258*D$82/C$82,0)</f>
        <v>97</v>
      </c>
      <c r="E258" s="17"/>
      <c r="J258" s="32" t="s">
        <v>790</v>
      </c>
      <c r="K258" s="173">
        <f>D85*((100-Scénario!K31)/100)</f>
        <v>20.861999999999998</v>
      </c>
      <c r="L258" s="190">
        <f>IF(K258&gt;[1]Trav!E121,[1]Trav!C121,[1]Trav!B121)</f>
        <v>7.2</v>
      </c>
      <c r="N258" s="274"/>
      <c r="O258">
        <f t="shared" si="114"/>
        <v>150.2064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14.792999999999999</v>
      </c>
      <c r="L259" s="190">
        <f>IF(K259&gt;[1]Trav!E121,[1]Trav!C121,[1]Trav!B121)</f>
        <v>7.2</v>
      </c>
      <c r="N259" s="274"/>
      <c r="O259">
        <f t="shared" si="114"/>
        <v>106.50959999999999</v>
      </c>
    </row>
    <row r="260" spans="1:15" x14ac:dyDescent="0.25">
      <c r="A260" s="2" t="s">
        <v>767</v>
      </c>
      <c r="B260" s="14" t="s">
        <v>568</v>
      </c>
      <c r="C260" s="270">
        <f>ROUND(Travail!F35,0)</f>
        <v>994</v>
      </c>
      <c r="D260" s="264">
        <f>ROUND(Travail!B35+(Travail!D35*Travail!C35*'Synthèse résultats'!G63),0)</f>
        <v>954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0</v>
      </c>
      <c r="L261" s="190">
        <f>IF(K261&gt;[1]Trav!E122,[1]Trav!C122,[1]Trav!B122)</f>
        <v>4.4000000000000004</v>
      </c>
      <c r="M261" s="5"/>
      <c r="N261" s="274"/>
      <c r="O261">
        <f t="shared" si="114"/>
        <v>0</v>
      </c>
    </row>
    <row r="262" spans="1:15" x14ac:dyDescent="0.25">
      <c r="A262" s="2" t="s">
        <v>1363</v>
      </c>
      <c r="B262" s="14" t="s">
        <v>783</v>
      </c>
      <c r="C262" s="270">
        <f>Travail!F50</f>
        <v>11</v>
      </c>
      <c r="D262" s="264">
        <f t="shared" ref="D262:D271" si="116">ROUND(K253*L253,0)</f>
        <v>11</v>
      </c>
      <c r="E262" s="17" t="s">
        <v>1364</v>
      </c>
      <c r="J262" s="32" t="s">
        <v>795</v>
      </c>
      <c r="K262" s="173">
        <f>D89</f>
        <v>2.8450000000000002</v>
      </c>
      <c r="L262" s="190">
        <f>[1]Trav!$B$123</f>
        <v>7.2</v>
      </c>
      <c r="M262" s="5"/>
      <c r="N262" s="274"/>
      <c r="O262">
        <f t="shared" si="114"/>
        <v>20.484000000000002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2</v>
      </c>
      <c r="D264" s="264">
        <f t="shared" si="116"/>
        <v>8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46</v>
      </c>
      <c r="D266" s="264">
        <f t="shared" si="116"/>
        <v>44</v>
      </c>
    </row>
    <row r="267" spans="1:15" x14ac:dyDescent="0.25">
      <c r="B267" s="32" t="s">
        <v>790</v>
      </c>
      <c r="C267" s="270">
        <f>Travail!F55</f>
        <v>158</v>
      </c>
      <c r="D267" s="264">
        <f t="shared" si="116"/>
        <v>150</v>
      </c>
    </row>
    <row r="268" spans="1:15" x14ac:dyDescent="0.25">
      <c r="B268" s="32" t="s">
        <v>791</v>
      </c>
      <c r="C268" s="270">
        <f>Travail!F56</f>
        <v>112</v>
      </c>
      <c r="D268" s="264">
        <f t="shared" si="116"/>
        <v>107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0</v>
      </c>
      <c r="D270" s="264">
        <f t="shared" si="116"/>
        <v>0</v>
      </c>
    </row>
    <row r="271" spans="1:15" x14ac:dyDescent="0.25">
      <c r="B271" s="32" t="s">
        <v>795</v>
      </c>
      <c r="C271" s="270">
        <f>Travail!F59</f>
        <v>22</v>
      </c>
      <c r="D271" s="264">
        <f t="shared" si="116"/>
        <v>20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170.4</v>
      </c>
      <c r="D275" s="173">
        <f>C275</f>
        <v>170.4</v>
      </c>
    </row>
    <row r="276" spans="1:4" x14ac:dyDescent="0.25">
      <c r="A276" s="23"/>
      <c r="B276" s="32" t="s">
        <v>1369</v>
      </c>
      <c r="C276" s="270">
        <f>C192*8</f>
        <v>9.3000000000000007</v>
      </c>
      <c r="D276" s="264">
        <f>D192*8</f>
        <v>8.8000000000000007</v>
      </c>
    </row>
    <row r="277" spans="1:4" x14ac:dyDescent="0.25">
      <c r="B277" s="32" t="s">
        <v>1418</v>
      </c>
      <c r="C277" s="270">
        <f>Travail!F75+Travail!F81</f>
        <v>112</v>
      </c>
      <c r="D277" s="173">
        <f>C277</f>
        <v>112</v>
      </c>
    </row>
    <row r="278" spans="1:4" x14ac:dyDescent="0.25">
      <c r="B278" s="32" t="s">
        <v>1419</v>
      </c>
      <c r="C278" s="270">
        <f>Travail!F76</f>
        <v>24.5</v>
      </c>
      <c r="D278" s="173">
        <f>C278</f>
        <v>24.5</v>
      </c>
    </row>
    <row r="279" spans="1:4" x14ac:dyDescent="0.25">
      <c r="B279" s="32" t="s">
        <v>1385</v>
      </c>
      <c r="C279" s="270">
        <f>Travail!F86</f>
        <v>279.99999999999994</v>
      </c>
      <c r="D279" s="270">
        <f>C279</f>
        <v>279.99999999999994</v>
      </c>
    </row>
    <row r="280" spans="1:4" x14ac:dyDescent="0.25">
      <c r="B280" s="32" t="s">
        <v>1386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3450</v>
      </c>
      <c r="D281" s="264">
        <f>ROUND(D245+D248+D251+D254+D257+D260+D261,0)</f>
        <v>3365</v>
      </c>
    </row>
    <row r="282" spans="1:4" x14ac:dyDescent="0.25">
      <c r="B282" s="14" t="s">
        <v>1372</v>
      </c>
      <c r="C282" s="173">
        <f>ROUND(C246+C249+C252+C255+C258,0)</f>
        <v>788</v>
      </c>
      <c r="D282" s="264">
        <f>ROUND(D246+D249+D252+D255+D258,0)</f>
        <v>783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9.66</v>
      </c>
      <c r="D284" s="173">
        <f>ROUND(D281/(Troupeau!$B$17*G63),2)</f>
        <v>9.94</v>
      </c>
    </row>
    <row r="285" spans="1:4" x14ac:dyDescent="0.25">
      <c r="B285" s="14" t="s">
        <v>1375</v>
      </c>
      <c r="C285" s="173">
        <f>IF(Troupeau!$C$17=0,0,ROUND(C282/Troupeau!$C$17,2))</f>
        <v>37.520000000000003</v>
      </c>
      <c r="D285" s="173">
        <f>IF(Troupeau!$C$17=0,0,ROUND(D282/Troupeau!$C$17*G63,2))</f>
        <v>35.36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4238</v>
      </c>
      <c r="D287" s="264">
        <f>SUM(D281:D283)</f>
        <v>4148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367</v>
      </c>
      <c r="D289" s="264">
        <f>SUM(D262:D271)</f>
        <v>355</v>
      </c>
    </row>
    <row r="290" spans="2:4" x14ac:dyDescent="0.25">
      <c r="B290" s="14" t="s">
        <v>1420</v>
      </c>
      <c r="C290" s="270">
        <f>C275+C276+C277</f>
        <v>291.70000000000005</v>
      </c>
      <c r="D290" s="277">
        <f>D275+D276+D277</f>
        <v>291.20000000000005</v>
      </c>
    </row>
    <row r="291" spans="2:4" x14ac:dyDescent="0.25">
      <c r="B291" s="14" t="s">
        <v>1421</v>
      </c>
      <c r="C291" s="270">
        <f>C278+C279+C280</f>
        <v>304.49999999999994</v>
      </c>
      <c r="D291" s="270">
        <f>D278+D279+D280</f>
        <v>304.49999999999994</v>
      </c>
    </row>
    <row r="292" spans="2:4" x14ac:dyDescent="0.25">
      <c r="B292" s="14" t="s">
        <v>873</v>
      </c>
      <c r="C292" s="173">
        <f>ROUND(SUM(C287:C291),0)</f>
        <v>5801</v>
      </c>
      <c r="D292" s="264">
        <f>ROUND(SUM(D287:D291),0)</f>
        <v>5699</v>
      </c>
    </row>
    <row r="293" spans="2:4" x14ac:dyDescent="0.25">
      <c r="B293" s="14" t="s">
        <v>874</v>
      </c>
      <c r="C293" s="173">
        <f>ROUND(IF(Scénario!$K$129=1,SUM(C275:C280),SUM(C278:C280)),0)</f>
        <v>596</v>
      </c>
      <c r="D293" s="173">
        <f>ROUND(IF(Scénario!$K$129=1,SUM(D275:D280),SUM(D278:D280)),0)</f>
        <v>596</v>
      </c>
    </row>
    <row r="294" spans="2:4" x14ac:dyDescent="0.25">
      <c r="B294" s="14" t="s">
        <v>875</v>
      </c>
      <c r="C294" s="173">
        <f>ROUND((C292-C293)/C83,0)</f>
        <v>3470</v>
      </c>
      <c r="D294" s="173">
        <f>ROUND((D292-D293)/D83,0)</f>
        <v>2552</v>
      </c>
    </row>
    <row r="295" spans="2:4" x14ac:dyDescent="0.25">
      <c r="B295" s="14" t="s">
        <v>1449</v>
      </c>
      <c r="C295" s="173">
        <f>IF('[2]Alim -Surf'!Q7=0,'[2]Alim -Surf'!R7,0)+IF('[2]Alim -Surf'!Q8=0,'[2]Alim -Surf'!R8,0)+IF('[2]Alim -Surf'!Q9=0,'[2]Alim -Surf'!R9,0)+IF('[2]Alim -Surf'!Q10=0,'[2]Alim -Surf'!R10,0)+IF('[2]Alim -Surf'!Q11=0,'[2]Alim -Surf'!R11,0)+IF('[2]Alim -Surf'!Q12=0,'[2]Alim -Surf'!R12,0)+IF('[2]Alim -Surf'!Q13=0,'[2]Alim -Surf'!R13,0)+IF('[2]Alim -Surf'!Q14=0,'[2]Alim -Surf'!R14,0)+IF('[2]Alim -Surf'!Q15=0,'[2]Alim -Surf'!R15,0)+IF('[2]Alim -Surf'!Q16=0,'[2]Alim -Surf'!R16,0)</f>
        <v>0</v>
      </c>
    </row>
    <row r="296" spans="2:4" x14ac:dyDescent="0.25">
      <c r="B296" s="14" t="s">
        <v>1450</v>
      </c>
      <c r="C296" s="173">
        <f>IF('[2]Alim -Surf'!Q29=0,'[2]Alim -Surf'!R29,0)+IF('[2]Alim -Surf'!Q30=0,'[2]Alim -Surf'!R30,0)+IF('[2]Alim -Surf'!Q31=0,'[2]Alim -Surf'!R31,0)+IF('[2]Alim -Surf'!Q32=0,'[2]Alim -Surf'!R32,0)+IF('[2]Alim -Surf'!Q33=0,'[2]Alim -Surf'!R33,0)+IF('[2]Alim -Surf'!Q34=0,'[2]Alim -Surf'!R34,0)+IF('[2]Alim -Surf'!Q35=0,'[2]Alim -Surf'!R35,0)+IF('[2]Alim -Surf'!Q36=0,'[2]Alim -Surf'!R36,0)+IF('[2]Alim -Surf'!Q37=0,'[2]Alim -Surf'!R37,0)+IF('[2]Alim -Surf'!Q38=0,'[2]Alim -Surf'!R38,0)</f>
        <v>0</v>
      </c>
    </row>
    <row r="297" spans="2:4" x14ac:dyDescent="0.25">
      <c r="B297" s="14" t="s">
        <v>1451</v>
      </c>
      <c r="C297" s="173">
        <f>IF('[2]Alim -Surf'!Q51=0,'[2]Alim -Surf'!R51,0)+IF('[2]Alim -Surf'!Q52=0,'[2]Alim -Surf'!R52,0)+IF('[2]Alim -Surf'!Q53=0,'[2]Alim -Surf'!R53,0)+IF('[2]Alim -Surf'!Q54=0,'[2]Alim -Surf'!R54,0)+IF('[2]Alim -Surf'!Q55=0,'[2]Alim -Surf'!R55,0)</f>
        <v>0</v>
      </c>
    </row>
    <row r="298" spans="2:4" x14ac:dyDescent="0.25">
      <c r="B298" s="14" t="s">
        <v>1452</v>
      </c>
      <c r="C298" s="173">
        <f>IF(Troupeau!$B$3="OL",CdTrp1!AA220,0)</f>
        <v>64.436931326478245</v>
      </c>
    </row>
    <row r="299" spans="2:4" x14ac:dyDescent="0.25">
      <c r="B299" s="14" t="s">
        <v>1453</v>
      </c>
      <c r="C299" s="173">
        <f>IF(Troupeau!$B$3="OL",CdTrp1!AA221,0)</f>
        <v>45.189649515652185</v>
      </c>
    </row>
    <row r="300" spans="2:4" x14ac:dyDescent="0.25">
      <c r="B300" s="14" t="s">
        <v>1454</v>
      </c>
      <c r="C300" s="173">
        <f>IF(Troupeau!$B$3="BV",CdTrp1!AA220,0)+IF(Troupeau!$C$3="BV",CdTrp2!AA220,0)</f>
        <v>61.430435324999998</v>
      </c>
    </row>
    <row r="301" spans="2:4" x14ac:dyDescent="0.25">
      <c r="B301" s="14" t="s">
        <v>1455</v>
      </c>
      <c r="C301" s="173">
        <f>IF(Troupeau!$B$3="BV",CdTrp1!AA221,0)+IF(Troupeau!$C$3="BV",CdTrp2!AA221,0)</f>
        <v>0</v>
      </c>
    </row>
    <row r="302" spans="2:4" x14ac:dyDescent="0.25">
      <c r="B302" s="14" t="s">
        <v>1456</v>
      </c>
      <c r="C302" s="173">
        <f>IF(Troupeau!$B$3="VL",CdTrp1!AA220,0)</f>
        <v>0</v>
      </c>
    </row>
    <row r="303" spans="2:4" x14ac:dyDescent="0.25">
      <c r="B303" s="14" t="s">
        <v>1457</v>
      </c>
      <c r="C303" s="173">
        <f>'[2]Alim -Surf'!H10</f>
        <v>0</v>
      </c>
    </row>
    <row r="304" spans="2:4" x14ac:dyDescent="0.25">
      <c r="B304" s="14" t="s">
        <v>1458</v>
      </c>
      <c r="C304" s="173">
        <f>Protection!BL31+Protection!BK31</f>
        <v>33</v>
      </c>
    </row>
    <row r="305" spans="2:3" x14ac:dyDescent="0.25">
      <c r="B305" s="14" t="s">
        <v>1459</v>
      </c>
      <c r="C305" s="173">
        <f>Protection!BJ31</f>
        <v>0</v>
      </c>
    </row>
    <row r="306" spans="2:3" x14ac:dyDescent="0.25">
      <c r="B306" s="14" t="s">
        <v>1460</v>
      </c>
      <c r="C306" s="173">
        <f>'Calcul éco'!X233</f>
        <v>0</v>
      </c>
    </row>
    <row r="307" spans="2:3" x14ac:dyDescent="0.25">
      <c r="B307" s="14" t="s">
        <v>1461</v>
      </c>
      <c r="C307" s="173">
        <f>'Calcul éco'!X234</f>
        <v>49326</v>
      </c>
    </row>
    <row r="308" spans="2:3" x14ac:dyDescent="0.25">
      <c r="B308" s="14" t="s">
        <v>1462</v>
      </c>
      <c r="C308" s="173">
        <f>'Calcul éco'!X235</f>
        <v>666.66666666666663</v>
      </c>
    </row>
    <row r="309" spans="2:3" x14ac:dyDescent="0.25">
      <c r="B309" s="14" t="s">
        <v>1463</v>
      </c>
      <c r="C309" s="173">
        <f>'Calcul éco'!X236</f>
        <v>0</v>
      </c>
    </row>
    <row r="310" spans="2:3" x14ac:dyDescent="0.25">
      <c r="B310" s="14" t="s">
        <v>1464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14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152</v>
      </c>
      <c r="I17" s="22"/>
      <c r="J17" s="60">
        <v>56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328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311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410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328</v>
      </c>
      <c r="C21" s="61">
        <f>ROUNDDOWN((C20*(100-K21))/100,0)</f>
        <v>15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82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82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9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47272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47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4.5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82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164</v>
      </c>
      <c r="C43" s="61">
        <f>IF(K$27&lt;=1,C21/2,0)</f>
        <v>7.5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65.016000000000005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2.2960000000000003</v>
      </c>
      <c r="C51" s="61">
        <f t="shared" ref="C51:C61" si="4">C22*K51</f>
        <v>1.75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11.48</v>
      </c>
      <c r="C52" s="61">
        <f t="shared" si="4"/>
        <v>3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1.2600000000000002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12.6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13.23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23562</v>
      </c>
      <c r="C72" s="61">
        <f t="shared" ref="C72:E76" si="8">C$17*K72</f>
        <v>6029.1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66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14565.599999999999</v>
      </c>
      <c r="C73" s="61">
        <f t="shared" si="8"/>
        <v>2570.4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40.799999999999997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4284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11512.800000000001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140.4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47" activePane="bottomLeft" state="frozen"/>
      <selection pane="bottomLeft" activeCell="U53" sqref="U53:Y53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1428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94">
        <f>+Troupeau!J17</f>
        <v>56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310.43478260869563</v>
      </c>
      <c r="C15" s="60">
        <f>CdTrp1!AM2*Troupeau!$B$17/CdTrp1!$AI$2</f>
        <v>307.33043478260868</v>
      </c>
      <c r="D15" s="60">
        <f>CdTrp1!AN2*Troupeau!$B$17/CdTrp1!$AI$2</f>
        <v>304.22608695652173</v>
      </c>
      <c r="E15" s="60">
        <f>CdTrp1!AO2*Troupeau!$B$17/CdTrp1!$AI$2</f>
        <v>302.67391304347825</v>
      </c>
      <c r="F15" s="60">
        <f>CdTrp1!AP2*Troupeau!$B$17/CdTrp1!$AI$2</f>
        <v>301.12173913043478</v>
      </c>
      <c r="G15" s="60">
        <f>CdTrp1!AQ2*Troupeau!$B$17/CdTrp1!$AI$2</f>
        <v>299.5695652173913</v>
      </c>
      <c r="H15" s="60">
        <f>CdTrp1!AR2*Troupeau!$B$17/CdTrp1!$AI$2</f>
        <v>298.01739130434783</v>
      </c>
      <c r="I15" s="60">
        <f>CdTrp1!AS2*Troupeau!$B$17/CdTrp1!$AI$2</f>
        <v>296.46521739130435</v>
      </c>
      <c r="J15" s="60">
        <f>CdTrp1!AT2*Troupeau!$B$17/CdTrp1!$AI$2</f>
        <v>293.3608695652174</v>
      </c>
      <c r="K15" s="60">
        <f>CdTrp1!AU2*Troupeau!$B$17/CdTrp1!$AI$2</f>
        <v>299.5695652173913</v>
      </c>
      <c r="L15" s="60">
        <f>CdTrp1!AV2*Troupeau!$B$17/CdTrp1!$AI$2</f>
        <v>299.5695652173913</v>
      </c>
      <c r="M15" s="60">
        <f>CdTrp1!AW2*Troupeau!$B$17/CdTrp1!$AI$2</f>
        <v>299.5695652173913</v>
      </c>
      <c r="N15" s="60">
        <f>CdTrp1!AX2*Troupeau!$B$17/CdTrp1!$AI$2</f>
        <v>299.5695652173913</v>
      </c>
      <c r="O15" s="60">
        <f>CdTrp1!AY2*Troupeau!$B$17/CdTrp1!$AI$2</f>
        <v>299.5695652173913</v>
      </c>
      <c r="P15" s="60">
        <f>CdTrp1!AZ2*Troupeau!$B$17/CdTrp1!$AI$2</f>
        <v>299.5695652173913</v>
      </c>
      <c r="Q15" s="60">
        <f>CdTrp1!BA2*Troupeau!$B$17/CdTrp1!$AI$2</f>
        <v>299.5695652173913</v>
      </c>
      <c r="R15" s="60">
        <f>CdTrp1!BB2*Troupeau!$B$17/CdTrp1!$AI$2</f>
        <v>299.5695652173913</v>
      </c>
      <c r="S15" s="60">
        <f>CdTrp1!BC2*Troupeau!$B$17/CdTrp1!$AI$2</f>
        <v>299.5695652173913</v>
      </c>
      <c r="T15" s="60">
        <f>CdTrp1!BD2*Troupeau!$B$17/CdTrp1!$AI$2</f>
        <v>299.5695652173913</v>
      </c>
      <c r="U15" s="60">
        <f>CdTrp1!BE2*Troupeau!$B$17/CdTrp1!$AI$2</f>
        <v>327.50869565217391</v>
      </c>
      <c r="V15" s="60">
        <f>CdTrp1!BF2*Troupeau!$B$17/CdTrp1!$AI$2</f>
        <v>327.50869565217391</v>
      </c>
      <c r="W15" s="60">
        <f>CdTrp1!BG2*Troupeau!$B$17/CdTrp1!$AI$2</f>
        <v>310.43478260869563</v>
      </c>
      <c r="X15" s="60">
        <f>CdTrp1!BH2*Troupeau!$B$17/CdTrp1!$AI$2</f>
        <v>310.43478260869563</v>
      </c>
      <c r="Y15" s="60">
        <f>CdTrp1!BI2*Troupeau!$B$17/CdTrp1!$AI$2</f>
        <v>310.43478260869563</v>
      </c>
      <c r="Z15" s="52"/>
    </row>
    <row r="16" spans="1:61" x14ac:dyDescent="0.25">
      <c r="A16" s="50" t="s">
        <v>439</v>
      </c>
      <c r="B16" s="60">
        <f>CdTrp1!AL3*Troupeau!$B$17/CdTrp1!$AI$2</f>
        <v>29.491304347826087</v>
      </c>
      <c r="C16" s="60">
        <f>CdTrp1!AM3*Troupeau!$B$17/CdTrp1!$AI$2</f>
        <v>29.491304347826087</v>
      </c>
      <c r="D16" s="60">
        <f>CdTrp1!AN3*Troupeau!$B$17/CdTrp1!$AI$2</f>
        <v>29.491304347826087</v>
      </c>
      <c r="E16" s="60">
        <f>CdTrp1!AO3*Troupeau!$B$17/CdTrp1!$AI$2</f>
        <v>29.491304347826087</v>
      </c>
      <c r="F16" s="60">
        <f>CdTrp1!AP3*Troupeau!$B$17/CdTrp1!$AI$2</f>
        <v>29.491304347826087</v>
      </c>
      <c r="G16" s="60">
        <f>CdTrp1!AQ3*Troupeau!$B$17/CdTrp1!$AI$2</f>
        <v>29.491304347826087</v>
      </c>
      <c r="H16" s="60">
        <f>CdTrp1!AR3*Troupeau!$B$17/CdTrp1!$AI$2</f>
        <v>29.491304347826087</v>
      </c>
      <c r="I16" s="60">
        <f>CdTrp1!AS3*Troupeau!$B$17/CdTrp1!$AI$2</f>
        <v>29.491304347826087</v>
      </c>
      <c r="J16" s="60">
        <f>CdTrp1!AT3*Troupeau!$B$17/CdTrp1!$AI$2</f>
        <v>29.491304347826087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29.491304347826087</v>
      </c>
      <c r="V16" s="60">
        <f>CdTrp1!BF3*Troupeau!$B$17/CdTrp1!$AI$2</f>
        <v>29.491304347826087</v>
      </c>
      <c r="W16" s="60">
        <f>CdTrp1!BG3*Troupeau!$B$17/CdTrp1!$AI$2</f>
        <v>29.491304347826087</v>
      </c>
      <c r="X16" s="60">
        <f>CdTrp1!BH3*Troupeau!$B$17/CdTrp1!$AI$2</f>
        <v>29.491304347826087</v>
      </c>
      <c r="Y16" s="60">
        <f>CdTrp1!BI3*Troupeau!$B$17/CdTrp1!$AI$2</f>
        <v>29.491304347826087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80.713043478260872</v>
      </c>
      <c r="C17" s="60">
        <f>CdTrp1!AM4*Troupeau!$B$17/CdTrp1!$AI$2</f>
        <v>80.713043478260872</v>
      </c>
      <c r="D17" s="60">
        <f>CdTrp1!AN4*Troupeau!$B$17/CdTrp1!$AI$2</f>
        <v>80.713043478260872</v>
      </c>
      <c r="E17" s="60">
        <f>CdTrp1!AO4*Troupeau!$B$17/CdTrp1!$AI$2</f>
        <v>80.713043478260872</v>
      </c>
      <c r="F17" s="60">
        <f>CdTrp1!AP4*Troupeau!$B$17/CdTrp1!$AI$2</f>
        <v>80.713043478260872</v>
      </c>
      <c r="G17" s="60">
        <f>CdTrp1!AQ4*Troupeau!$B$17/CdTrp1!$AI$2</f>
        <v>80.713043478260872</v>
      </c>
      <c r="H17" s="60">
        <f>CdTrp1!AR4*Troupeau!$B$17/CdTrp1!$AI$2</f>
        <v>80.713043478260872</v>
      </c>
      <c r="I17" s="60">
        <f>CdTrp1!AS4*Troupeau!$B$17/CdTrp1!$AI$2</f>
        <v>80.713043478260872</v>
      </c>
      <c r="J17" s="60">
        <f>CdTrp1!AT4*Troupeau!$B$17/CdTrp1!$AI$2</f>
        <v>80.713043478260872</v>
      </c>
      <c r="K17" s="60">
        <f>CdTrp1!AU4*Troupeau!$B$17/CdTrp1!$AI$2</f>
        <v>80.713043478260872</v>
      </c>
      <c r="L17" s="60">
        <f>CdTrp1!AV4*Troupeau!$B$17/CdTrp1!$AI$2</f>
        <v>80.713043478260872</v>
      </c>
      <c r="M17" s="60">
        <f>CdTrp1!AW4*Troupeau!$B$17/CdTrp1!$AI$2</f>
        <v>80.713043478260872</v>
      </c>
      <c r="N17" s="60">
        <f>CdTrp1!AX4*Troupeau!$B$17/CdTrp1!$AI$2</f>
        <v>80.713043478260872</v>
      </c>
      <c r="O17" s="60">
        <f>CdTrp1!AY4*Troupeau!$B$17/CdTrp1!$AI$2</f>
        <v>80.713043478260872</v>
      </c>
      <c r="P17" s="60">
        <f>CdTrp1!AZ4*Troupeau!$B$17/CdTrp1!$AI$2</f>
        <v>80.713043478260872</v>
      </c>
      <c r="Q17" s="60">
        <f>CdTrp1!BA4*Troupeau!$B$17/CdTrp1!$AI$2</f>
        <v>80.713043478260872</v>
      </c>
      <c r="R17" s="60">
        <f>CdTrp1!BB4*Troupeau!$B$17/CdTrp1!$AI$2</f>
        <v>80.713043478260872</v>
      </c>
      <c r="S17" s="60">
        <f>CdTrp1!BC4*Troupeau!$B$17/CdTrp1!$AI$2</f>
        <v>80.713043478260872</v>
      </c>
      <c r="T17" s="60">
        <f>CdTrp1!BD4*Troupeau!$B$17/CdTrp1!$AI$2</f>
        <v>80.713043478260872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80.713043478260872</v>
      </c>
      <c r="X17" s="60">
        <f>CdTrp1!BH4*Troupeau!$B$17/CdTrp1!$AI$2</f>
        <v>80.713043478260872</v>
      </c>
      <c r="Y17" s="60">
        <f>CdTrp1!BI4*Troupeau!$B$17/CdTrp1!$AI$2</f>
        <v>80.713043478260872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9.3130434782608695</v>
      </c>
      <c r="C18" s="60">
        <f>CdTrp1!AM5*Troupeau!$B$17/CdTrp1!$AI$2</f>
        <v>9.3130434782608695</v>
      </c>
      <c r="D18" s="60">
        <f>CdTrp1!AN5*Troupeau!$B$17/CdTrp1!$AI$2</f>
        <v>9.3130434782608695</v>
      </c>
      <c r="E18" s="60">
        <f>CdTrp1!AO5*Troupeau!$B$17/CdTrp1!$AI$2</f>
        <v>9.3130434782608695</v>
      </c>
      <c r="F18" s="60">
        <f>CdTrp1!AP5*Troupeau!$B$17/CdTrp1!$AI$2</f>
        <v>9.3130434782608695</v>
      </c>
      <c r="G18" s="60">
        <f>CdTrp1!AQ5*Troupeau!$B$17/CdTrp1!$AI$2</f>
        <v>9.3130434782608695</v>
      </c>
      <c r="H18" s="60">
        <f>CdTrp1!AR5*Troupeau!$B$17/CdTrp1!$AI$2</f>
        <v>9.3130434782608695</v>
      </c>
      <c r="I18" s="60">
        <f>CdTrp1!AS5*Troupeau!$B$17/CdTrp1!$AI$2</f>
        <v>9.3130434782608695</v>
      </c>
      <c r="J18" s="60">
        <f>CdTrp1!AT5*Troupeau!$B$17/CdTrp1!$AI$2</f>
        <v>9.3130434782608695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9.3130434782608695</v>
      </c>
      <c r="V18" s="60">
        <f>CdTrp1!BF5*Troupeau!$B$17/CdTrp1!$AI$2</f>
        <v>9.3130434782608695</v>
      </c>
      <c r="W18" s="60">
        <f>CdTrp1!BG5*Troupeau!$B$17/CdTrp1!$AI$2</f>
        <v>9.3130434782608695</v>
      </c>
      <c r="X18" s="60">
        <f>CdTrp1!BH5*Troupeau!$B$17/CdTrp1!$AI$2</f>
        <v>9.3130434782608695</v>
      </c>
      <c r="Y18" s="60">
        <f>CdTrp1!BI5*Troupeau!$B$17/CdTrp1!$AI$2</f>
        <v>9.3130434782608695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23562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23.6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14565.599999999999</v>
      </c>
      <c r="AK19" s="54">
        <f t="shared" ref="AK19:AK52" si="4">IF($AH19=AK$17,ROUND($AI19/1000,1),0)</f>
        <v>14.6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4284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4.3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11512.800000000001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11.5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43.460869565217394</v>
      </c>
      <c r="C39" s="61">
        <f t="shared" ref="C39:Y48" si="12">C15*C27</f>
        <v>43.02626086956522</v>
      </c>
      <c r="D39" s="61">
        <f t="shared" si="12"/>
        <v>42.591652173913047</v>
      </c>
      <c r="E39" s="61">
        <f t="shared" si="12"/>
        <v>42.374347826086961</v>
      </c>
      <c r="F39" s="61">
        <f t="shared" si="12"/>
        <v>42.157043478260874</v>
      </c>
      <c r="G39" s="61">
        <f t="shared" si="12"/>
        <v>41.939739130434788</v>
      </c>
      <c r="H39" s="61">
        <f t="shared" si="12"/>
        <v>41.722434782608701</v>
      </c>
      <c r="I39" s="61">
        <f t="shared" si="12"/>
        <v>41.505130434782615</v>
      </c>
      <c r="J39" s="61">
        <f t="shared" si="12"/>
        <v>41.070521739130442</v>
      </c>
      <c r="K39" s="61">
        <f t="shared" si="12"/>
        <v>41.939739130434788</v>
      </c>
      <c r="L39" s="61">
        <f t="shared" si="12"/>
        <v>41.939739130434788</v>
      </c>
      <c r="M39" s="61">
        <f t="shared" si="12"/>
        <v>41.939739130434788</v>
      </c>
      <c r="N39" s="61">
        <f t="shared" si="12"/>
        <v>41.939739130434788</v>
      </c>
      <c r="O39" s="61">
        <f t="shared" si="12"/>
        <v>41.939739130434788</v>
      </c>
      <c r="P39" s="61">
        <f t="shared" si="12"/>
        <v>41.939739130434788</v>
      </c>
      <c r="Q39" s="61">
        <f t="shared" si="12"/>
        <v>41.939739130434788</v>
      </c>
      <c r="R39" s="61">
        <f t="shared" si="12"/>
        <v>41.939739130434788</v>
      </c>
      <c r="S39" s="61">
        <f t="shared" si="12"/>
        <v>41.939739130434788</v>
      </c>
      <c r="T39" s="61">
        <f t="shared" si="12"/>
        <v>41.939739130434788</v>
      </c>
      <c r="U39" s="61">
        <f t="shared" si="12"/>
        <v>45.851217391304353</v>
      </c>
      <c r="V39" s="61">
        <f t="shared" si="12"/>
        <v>45.851217391304353</v>
      </c>
      <c r="W39" s="61">
        <f t="shared" si="12"/>
        <v>43.460869565217394</v>
      </c>
      <c r="X39" s="61">
        <f t="shared" si="12"/>
        <v>43.460869565217394</v>
      </c>
      <c r="Y39" s="61">
        <f t="shared" si="12"/>
        <v>43.460869565217394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4.1287826086956523</v>
      </c>
      <c r="C40" s="61">
        <f t="shared" si="13"/>
        <v>4.1287826086956523</v>
      </c>
      <c r="D40" s="61">
        <f t="shared" si="13"/>
        <v>4.1287826086956523</v>
      </c>
      <c r="E40" s="61">
        <f t="shared" si="13"/>
        <v>4.1287826086956523</v>
      </c>
      <c r="F40" s="61">
        <f t="shared" si="13"/>
        <v>4.1287826086956523</v>
      </c>
      <c r="G40" s="61">
        <f t="shared" si="13"/>
        <v>4.1287826086956523</v>
      </c>
      <c r="H40" s="61">
        <f t="shared" si="13"/>
        <v>4.1287826086956523</v>
      </c>
      <c r="I40" s="61">
        <f t="shared" si="13"/>
        <v>4.1287826086956523</v>
      </c>
      <c r="J40" s="61">
        <f t="shared" si="13"/>
        <v>4.1287826086956523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4.1287826086956523</v>
      </c>
      <c r="V40" s="61">
        <f t="shared" si="12"/>
        <v>4.1287826086956523</v>
      </c>
      <c r="W40" s="61">
        <f t="shared" si="12"/>
        <v>4.1287826086956523</v>
      </c>
      <c r="X40" s="61">
        <f t="shared" si="12"/>
        <v>4.1287826086956523</v>
      </c>
      <c r="Y40" s="61">
        <f t="shared" si="12"/>
        <v>4.1287826086956523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2.2599652173913043</v>
      </c>
      <c r="C41" s="61">
        <f t="shared" si="12"/>
        <v>2.2599652173913043</v>
      </c>
      <c r="D41" s="61">
        <f t="shared" si="12"/>
        <v>2.2599652173913043</v>
      </c>
      <c r="E41" s="61">
        <f t="shared" si="12"/>
        <v>2.2599652173913043</v>
      </c>
      <c r="F41" s="61">
        <f t="shared" si="12"/>
        <v>2.2599652173913043</v>
      </c>
      <c r="G41" s="61">
        <f t="shared" si="12"/>
        <v>2.2599652173913043</v>
      </c>
      <c r="H41" s="61">
        <f t="shared" si="12"/>
        <v>2.2599652173913043</v>
      </c>
      <c r="I41" s="61">
        <f t="shared" si="12"/>
        <v>2.2599652173913043</v>
      </c>
      <c r="J41" s="61">
        <f t="shared" si="12"/>
        <v>5.6499130434782616</v>
      </c>
      <c r="K41" s="61">
        <f t="shared" si="12"/>
        <v>5.6499130434782616</v>
      </c>
      <c r="L41" s="61">
        <f t="shared" si="12"/>
        <v>5.6499130434782616</v>
      </c>
      <c r="M41" s="61">
        <f t="shared" si="12"/>
        <v>5.6499130434782616</v>
      </c>
      <c r="N41" s="61">
        <f t="shared" si="12"/>
        <v>5.6499130434782616</v>
      </c>
      <c r="O41" s="61">
        <f t="shared" si="12"/>
        <v>5.6499130434782616</v>
      </c>
      <c r="P41" s="61">
        <f t="shared" si="12"/>
        <v>5.6499130434782616</v>
      </c>
      <c r="Q41" s="61">
        <f t="shared" si="12"/>
        <v>5.6499130434782616</v>
      </c>
      <c r="R41" s="61">
        <f t="shared" si="12"/>
        <v>5.6499130434782616</v>
      </c>
      <c r="S41" s="61">
        <f t="shared" si="12"/>
        <v>5.6499130434782616</v>
      </c>
      <c r="T41" s="61">
        <f t="shared" si="12"/>
        <v>5.6499130434782616</v>
      </c>
      <c r="U41" s="61">
        <f t="shared" si="12"/>
        <v>0</v>
      </c>
      <c r="V41" s="61">
        <f t="shared" si="12"/>
        <v>0</v>
      </c>
      <c r="W41" s="61">
        <f t="shared" si="12"/>
        <v>2.2599652173913043</v>
      </c>
      <c r="X41" s="61">
        <f t="shared" si="12"/>
        <v>2.2599652173913043</v>
      </c>
      <c r="Y41" s="61">
        <f t="shared" si="12"/>
        <v>2.2599652173913043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1.3038260869565219</v>
      </c>
      <c r="C42" s="61">
        <f t="shared" si="12"/>
        <v>1.3038260869565219</v>
      </c>
      <c r="D42" s="61">
        <f t="shared" si="12"/>
        <v>1.3038260869565219</v>
      </c>
      <c r="E42" s="61">
        <f t="shared" si="12"/>
        <v>1.3038260869565219</v>
      </c>
      <c r="F42" s="61">
        <f t="shared" si="12"/>
        <v>1.3038260869565219</v>
      </c>
      <c r="G42" s="61">
        <f t="shared" si="12"/>
        <v>1.3038260869565219</v>
      </c>
      <c r="H42" s="61">
        <f t="shared" si="12"/>
        <v>1.3038260869565219</v>
      </c>
      <c r="I42" s="61">
        <f t="shared" si="12"/>
        <v>1.3038260869565219</v>
      </c>
      <c r="J42" s="61">
        <f t="shared" si="12"/>
        <v>1.3038260869565219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1.3038260869565219</v>
      </c>
      <c r="V42" s="61">
        <f t="shared" si="12"/>
        <v>1.3038260869565219</v>
      </c>
      <c r="W42" s="61">
        <f t="shared" si="12"/>
        <v>1.3038260869565219</v>
      </c>
      <c r="X42" s="61">
        <f t="shared" si="12"/>
        <v>1.3038260869565219</v>
      </c>
      <c r="Y42" s="61">
        <f t="shared" si="12"/>
        <v>1.3038260869565219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51.153443478260868</v>
      </c>
      <c r="C49" s="62">
        <f t="shared" si="14"/>
        <v>50.718834782608695</v>
      </c>
      <c r="D49" s="62">
        <f t="shared" si="14"/>
        <v>50.284226086956522</v>
      </c>
      <c r="E49" s="62">
        <f t="shared" si="14"/>
        <v>50.066921739130436</v>
      </c>
      <c r="F49" s="62">
        <f t="shared" si="14"/>
        <v>49.849617391304349</v>
      </c>
      <c r="G49" s="62">
        <f t="shared" si="14"/>
        <v>49.632313043478263</v>
      </c>
      <c r="H49" s="62">
        <f t="shared" si="14"/>
        <v>49.415008695652176</v>
      </c>
      <c r="I49" s="62">
        <f t="shared" si="14"/>
        <v>49.19770434782609</v>
      </c>
      <c r="J49" s="62">
        <f t="shared" si="14"/>
        <v>52.153043478260876</v>
      </c>
      <c r="K49" s="62">
        <f t="shared" si="14"/>
        <v>47.589652173913052</v>
      </c>
      <c r="L49" s="62">
        <f t="shared" si="14"/>
        <v>47.589652173913052</v>
      </c>
      <c r="M49" s="62">
        <f t="shared" si="14"/>
        <v>47.589652173913052</v>
      </c>
      <c r="N49" s="62">
        <f t="shared" si="14"/>
        <v>47.589652173913052</v>
      </c>
      <c r="O49" s="62">
        <f t="shared" si="14"/>
        <v>47.589652173913052</v>
      </c>
      <c r="P49" s="62">
        <f t="shared" si="14"/>
        <v>47.589652173913052</v>
      </c>
      <c r="Q49" s="62">
        <f t="shared" si="14"/>
        <v>47.589652173913052</v>
      </c>
      <c r="R49" s="62">
        <f t="shared" si="14"/>
        <v>47.589652173913052</v>
      </c>
      <c r="S49" s="62">
        <f t="shared" si="14"/>
        <v>47.589652173913052</v>
      </c>
      <c r="T49" s="62">
        <f t="shared" si="14"/>
        <v>47.589652173913052</v>
      </c>
      <c r="U49" s="62">
        <f t="shared" si="14"/>
        <v>51.283826086956523</v>
      </c>
      <c r="V49" s="62">
        <f t="shared" si="14"/>
        <v>51.283826086956523</v>
      </c>
      <c r="W49" s="62">
        <f t="shared" si="14"/>
        <v>51.153443478260868</v>
      </c>
      <c r="X49" s="62">
        <f t="shared" si="14"/>
        <v>51.153443478260868</v>
      </c>
      <c r="Y49" s="62">
        <f t="shared" si="14"/>
        <v>51.153443478260868</v>
      </c>
      <c r="Z49" s="23"/>
      <c r="AA49" s="46">
        <f>AVERAGE(B49:Y49)</f>
        <v>49.349817391304335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14.6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23.6</v>
      </c>
      <c r="AV54" s="84">
        <f t="shared" si="17"/>
        <v>0</v>
      </c>
      <c r="AW54" s="84">
        <f t="shared" si="17"/>
        <v>4.3</v>
      </c>
      <c r="AX54" s="84">
        <f t="shared" si="17"/>
        <v>11.5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47.215000000000003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673.64347826086964</v>
      </c>
      <c r="C63" s="61">
        <f t="shared" si="18"/>
        <v>666.9070434782609</v>
      </c>
      <c r="D63" s="61">
        <f t="shared" si="18"/>
        <v>596.28313043478261</v>
      </c>
      <c r="E63" s="61">
        <f t="shared" si="18"/>
        <v>296.62043478260875</v>
      </c>
      <c r="F63" s="61">
        <f t="shared" si="18"/>
        <v>326.71708695652177</v>
      </c>
      <c r="G63" s="61">
        <f t="shared" si="18"/>
        <v>325.03297826086958</v>
      </c>
      <c r="H63" s="61">
        <f t="shared" si="18"/>
        <v>312.91826086956524</v>
      </c>
      <c r="I63" s="61">
        <f t="shared" si="18"/>
        <v>311.28847826086962</v>
      </c>
      <c r="J63" s="61">
        <f t="shared" si="18"/>
        <v>318.2965434782609</v>
      </c>
      <c r="K63" s="61">
        <f t="shared" si="18"/>
        <v>325.03297826086958</v>
      </c>
      <c r="L63" s="61">
        <f t="shared" si="18"/>
        <v>314.54804347826092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325.03297826086958</v>
      </c>
      <c r="U63" s="61">
        <f t="shared" si="18"/>
        <v>355.34693478260874</v>
      </c>
      <c r="V63" s="61">
        <f t="shared" si="18"/>
        <v>687.76826086956532</v>
      </c>
      <c r="W63" s="61">
        <f t="shared" si="18"/>
        <v>651.91304347826087</v>
      </c>
      <c r="X63" s="61">
        <f t="shared" si="18"/>
        <v>673.64347826086964</v>
      </c>
      <c r="Y63" s="61">
        <f t="shared" si="18"/>
        <v>673.64347826086964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31.998065217391304</v>
      </c>
      <c r="C64" s="61">
        <f t="shared" si="19"/>
        <v>31.998065217391304</v>
      </c>
      <c r="D64" s="61">
        <f t="shared" si="19"/>
        <v>28.901478260869567</v>
      </c>
      <c r="E64" s="61">
        <f t="shared" si="19"/>
        <v>28.901478260869567</v>
      </c>
      <c r="F64" s="61">
        <f t="shared" si="19"/>
        <v>31.998065217391304</v>
      </c>
      <c r="G64" s="61">
        <f t="shared" si="19"/>
        <v>31.998065217391304</v>
      </c>
      <c r="H64" s="61">
        <f t="shared" si="19"/>
        <v>30.965869565217393</v>
      </c>
      <c r="I64" s="61">
        <f t="shared" si="19"/>
        <v>30.965869565217393</v>
      </c>
      <c r="J64" s="61">
        <f t="shared" si="19"/>
        <v>31.998065217391304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31.998065217391304</v>
      </c>
      <c r="V64" s="61">
        <f t="shared" si="19"/>
        <v>30.965869565217393</v>
      </c>
      <c r="W64" s="61">
        <f t="shared" si="19"/>
        <v>30.965869565217393</v>
      </c>
      <c r="X64" s="61">
        <f t="shared" si="19"/>
        <v>31.998065217391304</v>
      </c>
      <c r="Y64" s="61">
        <f t="shared" si="19"/>
        <v>31.998065217391304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35.029460869565213</v>
      </c>
      <c r="C65" s="61">
        <f t="shared" si="20"/>
        <v>35.029460869565213</v>
      </c>
      <c r="D65" s="61">
        <f t="shared" si="20"/>
        <v>31.63951304347826</v>
      </c>
      <c r="E65" s="61">
        <f t="shared" si="20"/>
        <v>31.63951304347826</v>
      </c>
      <c r="F65" s="61">
        <f t="shared" si="20"/>
        <v>35.029460869565213</v>
      </c>
      <c r="G65" s="61">
        <f t="shared" si="20"/>
        <v>35.029460869565213</v>
      </c>
      <c r="H65" s="61">
        <f t="shared" si="20"/>
        <v>33.899478260869564</v>
      </c>
      <c r="I65" s="61">
        <f t="shared" si="20"/>
        <v>33.899478260869564</v>
      </c>
      <c r="J65" s="61">
        <f t="shared" si="20"/>
        <v>87.573652173913061</v>
      </c>
      <c r="K65" s="61">
        <f t="shared" si="20"/>
        <v>43.78682608695653</v>
      </c>
      <c r="L65" s="61">
        <f t="shared" si="20"/>
        <v>42.374347826086961</v>
      </c>
      <c r="M65" s="61">
        <f t="shared" si="20"/>
        <v>42.374347826086961</v>
      </c>
      <c r="N65" s="61">
        <f t="shared" si="20"/>
        <v>43.78682608695653</v>
      </c>
      <c r="O65" s="61">
        <f t="shared" si="20"/>
        <v>43.78682608695653</v>
      </c>
      <c r="P65" s="61">
        <f t="shared" si="20"/>
        <v>43.78682608695653</v>
      </c>
      <c r="Q65" s="61">
        <f t="shared" si="20"/>
        <v>43.78682608695653</v>
      </c>
      <c r="R65" s="61">
        <f t="shared" si="20"/>
        <v>42.374347826086961</v>
      </c>
      <c r="S65" s="61">
        <f t="shared" si="20"/>
        <v>42.374347826086961</v>
      </c>
      <c r="T65" s="61">
        <f t="shared" si="20"/>
        <v>43.78682608695653</v>
      </c>
      <c r="U65" s="61">
        <f t="shared" si="20"/>
        <v>0</v>
      </c>
      <c r="V65" s="61">
        <f t="shared" si="20"/>
        <v>0</v>
      </c>
      <c r="W65" s="61">
        <f t="shared" si="20"/>
        <v>33.899478260869564</v>
      </c>
      <c r="X65" s="61">
        <f t="shared" si="20"/>
        <v>35.029460869565213</v>
      </c>
      <c r="Y65" s="61">
        <f t="shared" si="20"/>
        <v>35.029460869565213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20.209304347826091</v>
      </c>
      <c r="C66" s="61">
        <f t="shared" si="21"/>
        <v>20.209304347826091</v>
      </c>
      <c r="D66" s="61">
        <f t="shared" si="21"/>
        <v>18.253565217391305</v>
      </c>
      <c r="E66" s="61">
        <f t="shared" si="21"/>
        <v>18.253565217391305</v>
      </c>
      <c r="F66" s="61">
        <f t="shared" si="21"/>
        <v>20.209304347826091</v>
      </c>
      <c r="G66" s="61">
        <f t="shared" si="21"/>
        <v>20.209304347826091</v>
      </c>
      <c r="H66" s="61">
        <f t="shared" si="21"/>
        <v>19.557391304347828</v>
      </c>
      <c r="I66" s="61">
        <f t="shared" si="21"/>
        <v>19.557391304347828</v>
      </c>
      <c r="J66" s="61">
        <f t="shared" si="21"/>
        <v>20.209304347826091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20.209304347826091</v>
      </c>
      <c r="V66" s="61">
        <f t="shared" si="21"/>
        <v>19.557391304347828</v>
      </c>
      <c r="W66" s="61">
        <f t="shared" si="21"/>
        <v>19.557391304347828</v>
      </c>
      <c r="X66" s="61">
        <f t="shared" si="21"/>
        <v>20.209304347826091</v>
      </c>
      <c r="Y66" s="61">
        <f t="shared" si="21"/>
        <v>20.209304347826091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761</v>
      </c>
      <c r="C73" s="64">
        <f t="shared" ref="C73:Y73" si="28">ROUND(SUM(C63:C72),0)</f>
        <v>754</v>
      </c>
      <c r="D73" s="64">
        <f t="shared" si="28"/>
        <v>675</v>
      </c>
      <c r="E73" s="64">
        <f t="shared" si="28"/>
        <v>375</v>
      </c>
      <c r="F73" s="64">
        <f t="shared" si="28"/>
        <v>414</v>
      </c>
      <c r="G73" s="64">
        <f t="shared" si="28"/>
        <v>412</v>
      </c>
      <c r="H73" s="64">
        <f t="shared" si="28"/>
        <v>397</v>
      </c>
      <c r="I73" s="64">
        <f t="shared" si="28"/>
        <v>396</v>
      </c>
      <c r="J73" s="64">
        <f t="shared" si="28"/>
        <v>458</v>
      </c>
      <c r="K73" s="64">
        <f t="shared" si="28"/>
        <v>369</v>
      </c>
      <c r="L73" s="64">
        <f t="shared" si="28"/>
        <v>357</v>
      </c>
      <c r="M73" s="64">
        <f t="shared" si="28"/>
        <v>42</v>
      </c>
      <c r="N73" s="64">
        <f t="shared" si="28"/>
        <v>44</v>
      </c>
      <c r="O73" s="64">
        <f t="shared" si="28"/>
        <v>44</v>
      </c>
      <c r="P73" s="64">
        <f t="shared" si="28"/>
        <v>44</v>
      </c>
      <c r="Q73" s="64">
        <f t="shared" si="28"/>
        <v>44</v>
      </c>
      <c r="R73" s="64">
        <f t="shared" si="28"/>
        <v>42</v>
      </c>
      <c r="S73" s="64">
        <f t="shared" si="28"/>
        <v>42</v>
      </c>
      <c r="T73" s="64">
        <f t="shared" si="28"/>
        <v>369</v>
      </c>
      <c r="U73" s="64">
        <f t="shared" si="28"/>
        <v>408</v>
      </c>
      <c r="V73" s="64">
        <f t="shared" si="28"/>
        <v>738</v>
      </c>
      <c r="W73" s="64">
        <f t="shared" si="28"/>
        <v>736</v>
      </c>
      <c r="X73" s="64">
        <f t="shared" si="28"/>
        <v>761</v>
      </c>
      <c r="Y73" s="64">
        <f t="shared" si="28"/>
        <v>761</v>
      </c>
      <c r="Z73" s="52"/>
      <c r="AA73" s="56">
        <f>ROUND(SUM(B73:Y73),0)</f>
        <v>9443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2</v>
      </c>
      <c r="V77" s="60">
        <v>2</v>
      </c>
      <c r="W77" s="60">
        <v>2</v>
      </c>
      <c r="X77" s="60">
        <v>2</v>
      </c>
      <c r="Y77" s="60">
        <v>2</v>
      </c>
      <c r="AB77" t="s">
        <v>447</v>
      </c>
      <c r="AC77">
        <f>COUNTIF($B$76:$Y$85,"&gt;0")/2</f>
        <v>20.5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10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7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10.906287913043482</v>
      </c>
      <c r="C110" s="61">
        <f t="shared" si="40"/>
        <v>10.797225033913044</v>
      </c>
      <c r="D110" s="61">
        <f t="shared" si="40"/>
        <v>9.6538238817391324</v>
      </c>
      <c r="E110" s="61">
        <f t="shared" si="40"/>
        <v>9.6045696782608712</v>
      </c>
      <c r="F110" s="61">
        <f t="shared" si="40"/>
        <v>10.579099275652176</v>
      </c>
      <c r="G110" s="61">
        <f t="shared" si="40"/>
        <v>10.524567836086959</v>
      </c>
      <c r="H110" s="61">
        <f t="shared" si="40"/>
        <v>10.132293286956523</v>
      </c>
      <c r="I110" s="61">
        <f t="shared" si="40"/>
        <v>10.07952092608696</v>
      </c>
      <c r="J110" s="61">
        <f t="shared" si="40"/>
        <v>10.306442077826087</v>
      </c>
      <c r="K110" s="61">
        <f t="shared" si="40"/>
        <v>6.5461641821739143</v>
      </c>
      <c r="L110" s="61">
        <f t="shared" si="40"/>
        <v>6.3349975956521751</v>
      </c>
      <c r="M110" s="61">
        <f t="shared" si="40"/>
        <v>6.3349975956521751</v>
      </c>
      <c r="N110" s="61">
        <f t="shared" si="40"/>
        <v>6.5461641821739143</v>
      </c>
      <c r="O110" s="61">
        <f t="shared" si="40"/>
        <v>6.5461641821739143</v>
      </c>
      <c r="P110" s="61">
        <f t="shared" si="40"/>
        <v>6.5461641821739143</v>
      </c>
      <c r="Q110" s="61">
        <f t="shared" si="40"/>
        <v>6.5461641821739143</v>
      </c>
      <c r="R110" s="61">
        <f t="shared" si="40"/>
        <v>6.3349975956521751</v>
      </c>
      <c r="S110" s="61">
        <f t="shared" si="40"/>
        <v>6.3349975956521751</v>
      </c>
      <c r="T110" s="61">
        <f t="shared" si="40"/>
        <v>5.1420217160869566</v>
      </c>
      <c r="U110" s="61">
        <f t="shared" si="40"/>
        <v>10.162922334782611</v>
      </c>
      <c r="V110" s="61">
        <f t="shared" si="40"/>
        <v>9.8350861304347852</v>
      </c>
      <c r="W110" s="61">
        <f t="shared" si="40"/>
        <v>10.554472173913044</v>
      </c>
      <c r="X110" s="61">
        <f t="shared" si="40"/>
        <v>10.906287913043482</v>
      </c>
      <c r="Y110" s="61">
        <f t="shared" si="40"/>
        <v>10.906287913043482</v>
      </c>
    </row>
    <row r="111" spans="1:33" x14ac:dyDescent="0.25">
      <c r="A111" s="128" t="str">
        <f>A$16</f>
        <v>vides</v>
      </c>
      <c r="B111" s="61">
        <f t="shared" ref="B111:Y111" si="41">(B40*B$3*B100)/1000</f>
        <v>0.83194969565217392</v>
      </c>
      <c r="C111" s="61">
        <f t="shared" si="41"/>
        <v>0.83194969565217392</v>
      </c>
      <c r="D111" s="61">
        <f t="shared" si="41"/>
        <v>0.75143843478260874</v>
      </c>
      <c r="E111" s="61">
        <f t="shared" si="41"/>
        <v>0.75143843478260874</v>
      </c>
      <c r="F111" s="61">
        <f t="shared" si="41"/>
        <v>0.83194969565217392</v>
      </c>
      <c r="G111" s="61">
        <f t="shared" si="41"/>
        <v>0.83194969565217392</v>
      </c>
      <c r="H111" s="61">
        <f t="shared" si="41"/>
        <v>0.80511260869565215</v>
      </c>
      <c r="I111" s="61">
        <f t="shared" si="41"/>
        <v>0.80511260869565215</v>
      </c>
      <c r="J111" s="61">
        <f t="shared" si="41"/>
        <v>0.83194969565217392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0.83194969565217392</v>
      </c>
      <c r="V111" s="61">
        <f t="shared" si="41"/>
        <v>0.80511260869565215</v>
      </c>
      <c r="W111" s="61">
        <f t="shared" si="41"/>
        <v>0.80511260869565215</v>
      </c>
      <c r="X111" s="61">
        <f t="shared" si="41"/>
        <v>0.83194969565217392</v>
      </c>
      <c r="Y111" s="61">
        <f t="shared" si="41"/>
        <v>0.83194969565217392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0.45538299130434778</v>
      </c>
      <c r="C112" s="61">
        <f t="shared" si="42"/>
        <v>0.45538299130434778</v>
      </c>
      <c r="D112" s="61">
        <f t="shared" si="42"/>
        <v>0.41131366956521737</v>
      </c>
      <c r="E112" s="61">
        <f t="shared" si="42"/>
        <v>0.41131366956521737</v>
      </c>
      <c r="F112" s="61">
        <f t="shared" si="42"/>
        <v>0.45538299130434778</v>
      </c>
      <c r="G112" s="61">
        <f t="shared" si="42"/>
        <v>0.45538299130434778</v>
      </c>
      <c r="H112" s="61">
        <f t="shared" si="42"/>
        <v>0.44069321739130435</v>
      </c>
      <c r="I112" s="61">
        <f t="shared" si="42"/>
        <v>0.44069321739130435</v>
      </c>
      <c r="J112" s="61">
        <f t="shared" si="42"/>
        <v>1.1384574782608696</v>
      </c>
      <c r="K112" s="61">
        <f t="shared" si="42"/>
        <v>1.1384574782608696</v>
      </c>
      <c r="L112" s="61">
        <f t="shared" si="42"/>
        <v>1.1017330434782608</v>
      </c>
      <c r="M112" s="61">
        <f t="shared" si="42"/>
        <v>1.1017330434782608</v>
      </c>
      <c r="N112" s="61">
        <f t="shared" si="42"/>
        <v>1.1384574782608696</v>
      </c>
      <c r="O112" s="61">
        <f t="shared" si="42"/>
        <v>1.1384574782608696</v>
      </c>
      <c r="P112" s="61">
        <f t="shared" si="42"/>
        <v>1.1384574782608696</v>
      </c>
      <c r="Q112" s="61">
        <f t="shared" si="42"/>
        <v>1.1384574782608696</v>
      </c>
      <c r="R112" s="61">
        <f t="shared" si="42"/>
        <v>1.1017330434782608</v>
      </c>
      <c r="S112" s="61">
        <f t="shared" si="42"/>
        <v>1.1017330434782608</v>
      </c>
      <c r="T112" s="61">
        <f t="shared" si="42"/>
        <v>1.1384574782608696</v>
      </c>
      <c r="U112" s="61">
        <f t="shared" si="42"/>
        <v>0</v>
      </c>
      <c r="V112" s="61">
        <f t="shared" si="42"/>
        <v>0</v>
      </c>
      <c r="W112" s="61">
        <f t="shared" si="42"/>
        <v>0.44069321739130435</v>
      </c>
      <c r="X112" s="61">
        <f t="shared" si="42"/>
        <v>0.45538299130434778</v>
      </c>
      <c r="Y112" s="61">
        <f t="shared" si="42"/>
        <v>0.45538299130434778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0.26272095652173921</v>
      </c>
      <c r="C113" s="61">
        <f t="shared" si="43"/>
        <v>0.26272095652173921</v>
      </c>
      <c r="D113" s="61">
        <f t="shared" si="43"/>
        <v>0.23729634782608697</v>
      </c>
      <c r="E113" s="61">
        <f t="shared" si="43"/>
        <v>0.23729634782608697</v>
      </c>
      <c r="F113" s="61">
        <f t="shared" si="43"/>
        <v>0.26272095652173921</v>
      </c>
      <c r="G113" s="61">
        <f t="shared" si="43"/>
        <v>0.26272095652173921</v>
      </c>
      <c r="H113" s="61">
        <f t="shared" si="43"/>
        <v>0.25424608695652179</v>
      </c>
      <c r="I113" s="61">
        <f t="shared" si="43"/>
        <v>0.25424608695652179</v>
      </c>
      <c r="J113" s="61">
        <f t="shared" si="43"/>
        <v>0.26272095652173921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0.26272095652173921</v>
      </c>
      <c r="V113" s="61">
        <f t="shared" si="43"/>
        <v>0.25424608695652179</v>
      </c>
      <c r="W113" s="61">
        <f t="shared" si="43"/>
        <v>0.25424608695652179</v>
      </c>
      <c r="X113" s="61">
        <f t="shared" si="43"/>
        <v>0.26272095652173921</v>
      </c>
      <c r="Y113" s="61">
        <f t="shared" si="43"/>
        <v>0.26272095652173921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12.5</v>
      </c>
      <c r="C120" s="61">
        <f t="shared" ref="C120:Y120" si="50">SUM(C110:C119)</f>
        <v>12.347278677391305</v>
      </c>
      <c r="D120" s="61">
        <f t="shared" si="50"/>
        <v>11.053872333913045</v>
      </c>
      <c r="E120" s="61">
        <f t="shared" si="50"/>
        <v>11.004618130434784</v>
      </c>
      <c r="F120" s="61">
        <f t="shared" si="50"/>
        <v>12.129152919130437</v>
      </c>
      <c r="G120" s="61">
        <f t="shared" si="50"/>
        <v>12.07462147956522</v>
      </c>
      <c r="H120" s="61">
        <f t="shared" si="50"/>
        <v>11.632345200000001</v>
      </c>
      <c r="I120" s="61">
        <f t="shared" si="50"/>
        <v>11.579572839130439</v>
      </c>
      <c r="J120" s="61">
        <f t="shared" si="50"/>
        <v>12.539570208260871</v>
      </c>
      <c r="K120" s="61">
        <f t="shared" si="50"/>
        <v>7.6846216604347841</v>
      </c>
      <c r="L120" s="61">
        <f t="shared" si="50"/>
        <v>7.4367306391304364</v>
      </c>
      <c r="M120" s="61">
        <f t="shared" si="50"/>
        <v>7.4367306391304364</v>
      </c>
      <c r="N120" s="61">
        <f t="shared" si="50"/>
        <v>7.6846216604347841</v>
      </c>
      <c r="O120" s="61">
        <f t="shared" si="50"/>
        <v>7.6846216604347841</v>
      </c>
      <c r="P120" s="61">
        <f t="shared" si="50"/>
        <v>7.6846216604347841</v>
      </c>
      <c r="Q120" s="61">
        <f t="shared" si="50"/>
        <v>7.6846216604347841</v>
      </c>
      <c r="R120" s="61">
        <f t="shared" si="50"/>
        <v>7.4367306391304364</v>
      </c>
      <c r="S120" s="61">
        <f t="shared" si="50"/>
        <v>7.4367306391304364</v>
      </c>
      <c r="T120" s="61">
        <f t="shared" si="50"/>
        <v>6.2804791943478264</v>
      </c>
      <c r="U120" s="61">
        <f t="shared" si="50"/>
        <v>11.257592986956524</v>
      </c>
      <c r="V120" s="61">
        <f t="shared" si="50"/>
        <v>10.894444826086959</v>
      </c>
      <c r="W120" s="61">
        <f t="shared" si="50"/>
        <v>12.054524086956523</v>
      </c>
      <c r="X120" s="61">
        <f t="shared" si="50"/>
        <v>12.456341556521743</v>
      </c>
      <c r="Y120" s="61">
        <f t="shared" si="50"/>
        <v>12.456341556521743</v>
      </c>
      <c r="AA120" s="57">
        <f>SUM(B120:Y120)</f>
        <v>240.43078685391308</v>
      </c>
      <c r="AB120" t="s">
        <v>38</v>
      </c>
      <c r="AC120" t="s">
        <v>206</v>
      </c>
    </row>
    <row r="121" spans="1:29" x14ac:dyDescent="0.25">
      <c r="AA121">
        <f>AA49*4.75</f>
        <v>234.41163260869558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0.5</v>
      </c>
      <c r="U123" s="156">
        <v>0.5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10.906287913043482</v>
      </c>
      <c r="C136" s="61">
        <f t="shared" ref="C136:Y136" si="51">C110*(1-C123)</f>
        <v>10.797225033913044</v>
      </c>
      <c r="D136" s="61">
        <f t="shared" si="51"/>
        <v>9.6538238817391324</v>
      </c>
      <c r="E136" s="61">
        <f t="shared" si="51"/>
        <v>9.6045696782608712</v>
      </c>
      <c r="F136" s="61">
        <f t="shared" si="51"/>
        <v>10.579099275652176</v>
      </c>
      <c r="G136" s="61">
        <f t="shared" si="51"/>
        <v>4.209827134434784</v>
      </c>
      <c r="H136" s="61">
        <f t="shared" si="51"/>
        <v>4.0529173147826096</v>
      </c>
      <c r="I136" s="61">
        <f t="shared" si="51"/>
        <v>4.031808370434784</v>
      </c>
      <c r="J136" s="61">
        <f t="shared" si="51"/>
        <v>4.1225768311304352</v>
      </c>
      <c r="K136" s="61">
        <f t="shared" si="51"/>
        <v>1.3092328364347825</v>
      </c>
      <c r="L136" s="61">
        <f t="shared" si="51"/>
        <v>1.2669995191304348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2.5710108580434783</v>
      </c>
      <c r="U136" s="61">
        <f t="shared" si="51"/>
        <v>5.0814611673913053</v>
      </c>
      <c r="V136" s="61">
        <f t="shared" si="51"/>
        <v>9.8350861304347852</v>
      </c>
      <c r="W136" s="61">
        <f t="shared" si="51"/>
        <v>10.554472173913044</v>
      </c>
      <c r="X136" s="61">
        <f t="shared" si="51"/>
        <v>10.906287913043482</v>
      </c>
      <c r="Y136" s="61">
        <f t="shared" si="51"/>
        <v>10.906287913043482</v>
      </c>
      <c r="AA136" s="61">
        <f>SUM(B136:Y136)</f>
        <v>120.38897394482613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0.45538299130434778</v>
      </c>
      <c r="C138" s="61">
        <f t="shared" si="52"/>
        <v>0.45538299130434778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0.76276651043478261</v>
      </c>
      <c r="U138" s="61">
        <f t="shared" si="52"/>
        <v>0</v>
      </c>
      <c r="V138" s="61">
        <f t="shared" si="52"/>
        <v>0</v>
      </c>
      <c r="W138" s="61">
        <f t="shared" si="52"/>
        <v>0.44069321739130435</v>
      </c>
      <c r="X138" s="61">
        <f t="shared" si="52"/>
        <v>0.45538299130434778</v>
      </c>
      <c r="Y138" s="61">
        <f t="shared" si="52"/>
        <v>0.45538299130434778</v>
      </c>
      <c r="AA138" s="61">
        <f t="shared" ref="AA138:AA144" si="53">SUM(B138:Y138)</f>
        <v>3.0249916930434781</v>
      </c>
    </row>
    <row r="139" spans="1:31" x14ac:dyDescent="0.25">
      <c r="A139" s="127" t="str">
        <f>A$18</f>
        <v>beliers</v>
      </c>
      <c r="B139" s="61">
        <f t="shared" si="52"/>
        <v>0.26272095652173921</v>
      </c>
      <c r="C139" s="61">
        <f t="shared" si="52"/>
        <v>0.26272095652173921</v>
      </c>
      <c r="D139" s="61">
        <f t="shared" si="52"/>
        <v>0.23729634782608697</v>
      </c>
      <c r="E139" s="61">
        <f t="shared" si="52"/>
        <v>0.23729634782608697</v>
      </c>
      <c r="F139" s="61">
        <f t="shared" si="52"/>
        <v>0.26272095652173921</v>
      </c>
      <c r="G139" s="61">
        <f t="shared" si="52"/>
        <v>0.26272095652173921</v>
      </c>
      <c r="H139" s="61">
        <f t="shared" si="52"/>
        <v>0.25424608695652179</v>
      </c>
      <c r="I139" s="61">
        <f t="shared" si="52"/>
        <v>0.25424608695652179</v>
      </c>
      <c r="J139" s="61">
        <f t="shared" si="52"/>
        <v>0.26272095652173921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0.26272095652173921</v>
      </c>
      <c r="V139" s="61">
        <f t="shared" si="52"/>
        <v>0.25424608695652179</v>
      </c>
      <c r="W139" s="61">
        <f t="shared" si="52"/>
        <v>0.25424608695652179</v>
      </c>
      <c r="X139" s="61">
        <f t="shared" si="52"/>
        <v>0.26272095652173921</v>
      </c>
      <c r="Y139" s="61">
        <f t="shared" si="52"/>
        <v>0.26272095652173921</v>
      </c>
      <c r="AA139" s="61">
        <f t="shared" si="53"/>
        <v>3.5933446956521742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127.00731033352179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139.70804136687397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6.314740701652175</v>
      </c>
      <c r="H149" s="61">
        <f t="shared" si="55"/>
        <v>6.0793759721739136</v>
      </c>
      <c r="I149" s="61">
        <f t="shared" si="55"/>
        <v>6.0477125556521765</v>
      </c>
      <c r="J149" s="61">
        <f t="shared" si="55"/>
        <v>6.1838652466956523</v>
      </c>
      <c r="K149" s="61">
        <f t="shared" si="55"/>
        <v>5.2369313457391318</v>
      </c>
      <c r="L149" s="61">
        <f t="shared" si="55"/>
        <v>5.0679980765217403</v>
      </c>
      <c r="M149" s="61">
        <f t="shared" si="55"/>
        <v>6.3349975956521751</v>
      </c>
      <c r="N149" s="61">
        <f t="shared" si="55"/>
        <v>6.5461641821739143</v>
      </c>
      <c r="O149" s="61">
        <f t="shared" si="55"/>
        <v>6.5461641821739143</v>
      </c>
      <c r="P149" s="61">
        <f t="shared" si="55"/>
        <v>6.5461641821739143</v>
      </c>
      <c r="Q149" s="61">
        <f t="shared" si="55"/>
        <v>6.5461641821739143</v>
      </c>
      <c r="R149" s="61">
        <f t="shared" si="55"/>
        <v>6.3349975956521751</v>
      </c>
      <c r="S149" s="61">
        <f t="shared" si="55"/>
        <v>6.3349975956521751</v>
      </c>
      <c r="T149" s="61">
        <f t="shared" si="55"/>
        <v>2.5710108580434783</v>
      </c>
      <c r="U149" s="61">
        <f t="shared" si="55"/>
        <v>5.0814611673913053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0.83194969565217392</v>
      </c>
      <c r="C150" s="61">
        <f t="shared" si="56"/>
        <v>0.83194969565217392</v>
      </c>
      <c r="D150" s="61">
        <f t="shared" si="56"/>
        <v>0.75143843478260874</v>
      </c>
      <c r="E150" s="61">
        <f t="shared" si="56"/>
        <v>0.75143843478260874</v>
      </c>
      <c r="F150" s="61">
        <f t="shared" si="56"/>
        <v>0.83194969565217392</v>
      </c>
      <c r="G150" s="61">
        <f t="shared" si="56"/>
        <v>0.83194969565217392</v>
      </c>
      <c r="H150" s="61">
        <f t="shared" si="56"/>
        <v>0.80511260869565215</v>
      </c>
      <c r="I150" s="61">
        <f t="shared" si="56"/>
        <v>0.80511260869565215</v>
      </c>
      <c r="J150" s="61">
        <f t="shared" si="56"/>
        <v>0.83194969565217392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0.83194969565217392</v>
      </c>
      <c r="V150" s="61">
        <f t="shared" si="56"/>
        <v>0.80511260869565215</v>
      </c>
      <c r="W150" s="61">
        <f t="shared" si="56"/>
        <v>0.80511260869565215</v>
      </c>
      <c r="X150" s="61">
        <f t="shared" si="56"/>
        <v>0.83194969565217392</v>
      </c>
      <c r="Y150" s="61">
        <f t="shared" si="56"/>
        <v>0.83194969565217392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0.41131366956521737</v>
      </c>
      <c r="E151" s="61">
        <f t="shared" si="57"/>
        <v>0.41131366956521737</v>
      </c>
      <c r="F151" s="61">
        <f t="shared" si="57"/>
        <v>0.45538299130434778</v>
      </c>
      <c r="G151" s="61">
        <f t="shared" si="57"/>
        <v>0.45538299130434778</v>
      </c>
      <c r="H151" s="61">
        <f t="shared" si="57"/>
        <v>0.44069321739130435</v>
      </c>
      <c r="I151" s="61">
        <f t="shared" si="57"/>
        <v>0.44069321739130435</v>
      </c>
      <c r="J151" s="61">
        <f t="shared" si="57"/>
        <v>1.1384574782608696</v>
      </c>
      <c r="K151" s="61">
        <f t="shared" si="57"/>
        <v>1.1384574782608696</v>
      </c>
      <c r="L151" s="61">
        <f t="shared" si="57"/>
        <v>1.1017330434782608</v>
      </c>
      <c r="M151" s="61">
        <f t="shared" si="57"/>
        <v>1.1017330434782608</v>
      </c>
      <c r="N151" s="61">
        <f t="shared" si="57"/>
        <v>1.1384574782608696</v>
      </c>
      <c r="O151" s="61">
        <f t="shared" si="57"/>
        <v>1.1384574782608696</v>
      </c>
      <c r="P151" s="61">
        <f t="shared" si="57"/>
        <v>1.1384574782608696</v>
      </c>
      <c r="Q151" s="61">
        <f t="shared" si="57"/>
        <v>1.1384574782608696</v>
      </c>
      <c r="R151" s="61">
        <f t="shared" si="57"/>
        <v>1.1017330434782608</v>
      </c>
      <c r="S151" s="61">
        <f t="shared" si="57"/>
        <v>1.1017330434782608</v>
      </c>
      <c r="T151" s="61">
        <f t="shared" si="57"/>
        <v>0.37569096782608702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113.37981807691305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6.314740701652175</v>
      </c>
      <c r="H162" s="61">
        <f t="shared" si="65"/>
        <v>6.0793759721739136</v>
      </c>
      <c r="I162" s="61">
        <f t="shared" si="65"/>
        <v>6.0477125556521765</v>
      </c>
      <c r="J162" s="61">
        <f t="shared" si="65"/>
        <v>6.1838652466956523</v>
      </c>
      <c r="K162" s="61">
        <f t="shared" si="65"/>
        <v>5.2369313457391318</v>
      </c>
      <c r="L162" s="61">
        <f t="shared" si="65"/>
        <v>5.0679980765217403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2.5710108580434783</v>
      </c>
      <c r="U162" s="61">
        <f t="shared" si="65"/>
        <v>5.0814611673913053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1.1384574782608696</v>
      </c>
      <c r="L164" s="61">
        <f t="shared" si="67"/>
        <v>1.1017330434782608</v>
      </c>
      <c r="M164" s="61">
        <f t="shared" si="67"/>
        <v>1.1017330434782608</v>
      </c>
      <c r="N164" s="61">
        <f t="shared" si="67"/>
        <v>1.1384574782608696</v>
      </c>
      <c r="O164" s="61">
        <f t="shared" si="67"/>
        <v>1.1384574782608696</v>
      </c>
      <c r="P164" s="61">
        <f t="shared" si="67"/>
        <v>1.1384574782608696</v>
      </c>
      <c r="Q164" s="61">
        <f t="shared" si="67"/>
        <v>1.1384574782608696</v>
      </c>
      <c r="R164" s="61">
        <f t="shared" si="67"/>
        <v>1.1017330434782608</v>
      </c>
      <c r="S164" s="61">
        <f t="shared" si="67"/>
        <v>1.1017330434782608</v>
      </c>
      <c r="T164" s="61">
        <f t="shared" si="67"/>
        <v>0.37569096782608702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0</v>
      </c>
      <c r="G172" s="61">
        <f t="shared" si="75"/>
        <v>6.314740701652175</v>
      </c>
      <c r="H172" s="61">
        <f t="shared" si="75"/>
        <v>6.0793759721739136</v>
      </c>
      <c r="I172" s="61">
        <f t="shared" si="75"/>
        <v>6.0477125556521765</v>
      </c>
      <c r="J172" s="61">
        <f t="shared" si="75"/>
        <v>6.1838652466956523</v>
      </c>
      <c r="K172" s="61">
        <f t="shared" si="75"/>
        <v>6.3753888240000016</v>
      </c>
      <c r="L172" s="61">
        <f t="shared" si="75"/>
        <v>6.1697311200000016</v>
      </c>
      <c r="M172" s="61">
        <f t="shared" si="75"/>
        <v>1.1017330434782608</v>
      </c>
      <c r="N172" s="61">
        <f t="shared" si="75"/>
        <v>1.1384574782608696</v>
      </c>
      <c r="O172" s="61">
        <f t="shared" si="75"/>
        <v>1.1384574782608696</v>
      </c>
      <c r="P172" s="61">
        <f t="shared" si="75"/>
        <v>1.1384574782608696</v>
      </c>
      <c r="Q172" s="61">
        <f t="shared" si="75"/>
        <v>1.1384574782608696</v>
      </c>
      <c r="R172" s="61">
        <f t="shared" si="75"/>
        <v>1.1017330434782608</v>
      </c>
      <c r="S172" s="61">
        <f t="shared" si="75"/>
        <v>1.1017330434782608</v>
      </c>
      <c r="T172" s="61">
        <f t="shared" si="75"/>
        <v>2.9467018258695652</v>
      </c>
      <c r="U172" s="61">
        <f t="shared" si="75"/>
        <v>5.0814611673913053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53.058006456913056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0.83194969565217392</v>
      </c>
      <c r="C176" s="61">
        <f t="shared" si="77"/>
        <v>0.83194969565217392</v>
      </c>
      <c r="D176" s="61">
        <f t="shared" si="77"/>
        <v>0.75143843478260874</v>
      </c>
      <c r="E176" s="61">
        <f t="shared" si="77"/>
        <v>0.75143843478260874</v>
      </c>
      <c r="F176" s="61">
        <f t="shared" si="77"/>
        <v>0.83194969565217392</v>
      </c>
      <c r="G176" s="61">
        <f t="shared" si="77"/>
        <v>0.83194969565217392</v>
      </c>
      <c r="H176" s="61">
        <f t="shared" si="77"/>
        <v>0.80511260869565215</v>
      </c>
      <c r="I176" s="61">
        <f t="shared" si="77"/>
        <v>0.80511260869565215</v>
      </c>
      <c r="J176" s="61">
        <f t="shared" si="77"/>
        <v>0.83194969565217392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0.83194969565217392</v>
      </c>
      <c r="V176" s="61">
        <f t="shared" si="77"/>
        <v>0.80511260869565215</v>
      </c>
      <c r="W176" s="61">
        <f t="shared" si="77"/>
        <v>0.80511260869565215</v>
      </c>
      <c r="X176" s="61">
        <f t="shared" si="77"/>
        <v>0.83194969565217392</v>
      </c>
      <c r="Y176" s="61">
        <f t="shared" si="77"/>
        <v>0.83194969565217392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0.83194969565217392</v>
      </c>
      <c r="C185" s="61">
        <f>SUM(CdTrp1!C175:C184)</f>
        <v>0.83194969565217392</v>
      </c>
      <c r="D185" s="61">
        <f>SUM(CdTrp1!D175:D184)</f>
        <v>0.75143843478260874</v>
      </c>
      <c r="E185" s="61">
        <f>SUM(CdTrp1!E175:E184)</f>
        <v>0.75143843478260874</v>
      </c>
      <c r="F185" s="61">
        <f>SUM(CdTrp1!F175:F184)</f>
        <v>0.83194969565217392</v>
      </c>
      <c r="G185" s="61">
        <f>SUM(CdTrp1!G175:G184)</f>
        <v>0.83194969565217392</v>
      </c>
      <c r="H185" s="61">
        <f>SUM(CdTrp1!H175:H184)</f>
        <v>0.80511260869565215</v>
      </c>
      <c r="I185" s="61">
        <f>SUM(CdTrp1!I175:I184)</f>
        <v>0.80511260869565215</v>
      </c>
      <c r="J185" s="61">
        <f>SUM(CdTrp1!J175:J184)</f>
        <v>0.83194969565217392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0.83194969565217392</v>
      </c>
      <c r="V185" s="61">
        <f>SUM(CdTrp1!V175:V184)</f>
        <v>0.80511260869565215</v>
      </c>
      <c r="W185" s="61">
        <f>SUM(CdTrp1!W175:W184)</f>
        <v>0.80511260869565215</v>
      </c>
      <c r="X185" s="61">
        <f>SUM(CdTrp1!X175:X184)</f>
        <v>0.83194969565217392</v>
      </c>
      <c r="Y185" s="61">
        <f>SUM(CdTrp1!Y175:Y184)</f>
        <v>0.83194969565217392</v>
      </c>
      <c r="AA185" s="64">
        <f>SUM(B185:Y185)</f>
        <v>11.378924869565218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6.3349975956521751</v>
      </c>
      <c r="N201" s="61">
        <f t="shared" si="97"/>
        <v>6.5461641821739143</v>
      </c>
      <c r="O201" s="61">
        <f t="shared" si="97"/>
        <v>6.5461641821739143</v>
      </c>
      <c r="P201" s="61">
        <f t="shared" si="97"/>
        <v>6.5461641821739143</v>
      </c>
      <c r="Q201" s="61">
        <f t="shared" si="97"/>
        <v>6.5461641821739143</v>
      </c>
      <c r="R201" s="61">
        <f t="shared" si="97"/>
        <v>6.3349975956521751</v>
      </c>
      <c r="S201" s="61">
        <f t="shared" si="97"/>
        <v>6.3349975956521751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6.3349975956521751</v>
      </c>
      <c r="N211" s="61">
        <f t="shared" si="107"/>
        <v>6.5461641821739143</v>
      </c>
      <c r="O211" s="61">
        <f t="shared" si="107"/>
        <v>6.5461641821739143</v>
      </c>
      <c r="P211" s="61">
        <f t="shared" si="107"/>
        <v>6.5461641821739143</v>
      </c>
      <c r="Q211" s="61">
        <f t="shared" si="107"/>
        <v>6.5461641821739143</v>
      </c>
      <c r="R211" s="61">
        <f t="shared" si="107"/>
        <v>6.3349975956521751</v>
      </c>
      <c r="S211" s="61">
        <f t="shared" si="107"/>
        <v>6.3349975956521751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45.189649515652185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0</v>
      </c>
      <c r="G215" s="61">
        <f t="shared" si="108"/>
        <v>6.314740701652175</v>
      </c>
      <c r="H215" s="61">
        <f t="shared" si="108"/>
        <v>6.0793759721739136</v>
      </c>
      <c r="I215" s="61">
        <f t="shared" si="108"/>
        <v>6.0477125556521765</v>
      </c>
      <c r="J215" s="61">
        <f t="shared" si="108"/>
        <v>6.1838652466956523</v>
      </c>
      <c r="K215" s="61">
        <f t="shared" si="108"/>
        <v>6.3753888240000016</v>
      </c>
      <c r="L215" s="61">
        <f t="shared" si="108"/>
        <v>6.1697311200000016</v>
      </c>
      <c r="M215" s="61">
        <f t="shared" si="108"/>
        <v>1.1017330434782608</v>
      </c>
      <c r="N215" s="61">
        <f t="shared" si="108"/>
        <v>1.1384574782608696</v>
      </c>
      <c r="O215" s="61">
        <f t="shared" si="108"/>
        <v>1.1384574782608696</v>
      </c>
      <c r="P215" s="61">
        <f t="shared" si="108"/>
        <v>1.1384574782608696</v>
      </c>
      <c r="Q215" s="61">
        <f t="shared" si="108"/>
        <v>1.1384574782608696</v>
      </c>
      <c r="R215" s="61">
        <f t="shared" si="108"/>
        <v>1.1017330434782608</v>
      </c>
      <c r="S215" s="61">
        <f t="shared" si="108"/>
        <v>1.1017330434782608</v>
      </c>
      <c r="T215" s="61">
        <f t="shared" si="108"/>
        <v>2.9467018258695652</v>
      </c>
      <c r="U215" s="61">
        <f t="shared" si="108"/>
        <v>5.0814611673913053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0.83194969565217392</v>
      </c>
      <c r="C216" s="61">
        <f t="shared" ref="C216:Y216" si="109">C185</f>
        <v>0.83194969565217392</v>
      </c>
      <c r="D216" s="61">
        <f t="shared" si="109"/>
        <v>0.75143843478260874</v>
      </c>
      <c r="E216" s="61">
        <f t="shared" si="109"/>
        <v>0.75143843478260874</v>
      </c>
      <c r="F216" s="61">
        <f t="shared" si="109"/>
        <v>0.83194969565217392</v>
      </c>
      <c r="G216" s="61">
        <f t="shared" si="109"/>
        <v>0.83194969565217392</v>
      </c>
      <c r="H216" s="61">
        <f t="shared" si="109"/>
        <v>0.80511260869565215</v>
      </c>
      <c r="I216" s="61">
        <f t="shared" si="109"/>
        <v>0.80511260869565215</v>
      </c>
      <c r="J216" s="61">
        <f t="shared" si="109"/>
        <v>0.83194969565217392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0.83194969565217392</v>
      </c>
      <c r="V216" s="61">
        <f t="shared" si="109"/>
        <v>0.80511260869565215</v>
      </c>
      <c r="W216" s="61">
        <f t="shared" si="109"/>
        <v>0.80511260869565215</v>
      </c>
      <c r="X216" s="61">
        <f t="shared" si="109"/>
        <v>0.83194969565217392</v>
      </c>
      <c r="Y216" s="61">
        <f t="shared" si="109"/>
        <v>0.83194969565217392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6.3349975956521751</v>
      </c>
      <c r="N218" s="61">
        <f t="shared" si="111"/>
        <v>6.5461641821739143</v>
      </c>
      <c r="O218" s="61">
        <f t="shared" si="111"/>
        <v>6.5461641821739143</v>
      </c>
      <c r="P218" s="61">
        <f t="shared" si="111"/>
        <v>6.5461641821739143</v>
      </c>
      <c r="Q218" s="61">
        <f t="shared" si="111"/>
        <v>6.5461641821739143</v>
      </c>
      <c r="R218" s="61">
        <f t="shared" si="111"/>
        <v>6.3349975956521751</v>
      </c>
      <c r="S218" s="61">
        <f t="shared" si="111"/>
        <v>6.3349975956521751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109.62658084213039</v>
      </c>
      <c r="AB219" t="s">
        <v>222</v>
      </c>
    </row>
    <row r="220" spans="1:28" x14ac:dyDescent="0.25">
      <c r="AA220" s="30">
        <f>SUM(B215:Y217)</f>
        <v>64.436931326478245</v>
      </c>
      <c r="AB220" t="s">
        <v>223</v>
      </c>
    </row>
    <row r="221" spans="1:28" x14ac:dyDescent="0.25">
      <c r="AA221" s="30">
        <f>SUM(B218:Y218)</f>
        <v>45.189649515652185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08" activePane="bottomLeft" state="frozen"/>
      <selection pane="bottomLeft" activeCell="H123" sqref="H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1427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1428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94">
        <f>+Troupeau!K17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15.96</v>
      </c>
      <c r="C15" s="162">
        <f>CdTrp2!AM2*Troupeau!$C$17/CdTrp2!$AI$2</f>
        <v>15.96</v>
      </c>
      <c r="D15" s="162">
        <f>CdTrp2!AN2*Troupeau!$C$17/CdTrp2!$AI$2</f>
        <v>15.96</v>
      </c>
      <c r="E15" s="162">
        <f>CdTrp2!AO2*Troupeau!$C$17/CdTrp2!$AI$2</f>
        <v>15.96</v>
      </c>
      <c r="F15" s="162">
        <f>CdTrp2!AP2*Troupeau!$C$17/CdTrp2!$AI$2</f>
        <v>15.96</v>
      </c>
      <c r="G15" s="162">
        <f>CdTrp2!AQ2*Troupeau!$C$17/CdTrp2!$AI$2</f>
        <v>15.96</v>
      </c>
      <c r="H15" s="162">
        <f>CdTrp2!AR2*Troupeau!$C$17/CdTrp2!$AI$2</f>
        <v>15.96</v>
      </c>
      <c r="I15" s="162">
        <f>CdTrp2!AS2*Troupeau!$C$17/CdTrp2!$AI$2</f>
        <v>15.96</v>
      </c>
      <c r="J15" s="162">
        <f>CdTrp2!AT2*Troupeau!$C$17/CdTrp2!$AI$2</f>
        <v>15.96</v>
      </c>
      <c r="K15" s="162">
        <f>CdTrp2!AU2*Troupeau!$C$17/CdTrp2!$AI$2</f>
        <v>15.96</v>
      </c>
      <c r="L15" s="162">
        <f>CdTrp2!AV2*Troupeau!$C$17/CdTrp2!$AI$2</f>
        <v>15.96</v>
      </c>
      <c r="M15" s="162">
        <f>CdTrp2!AW2*Troupeau!$C$17/CdTrp2!$AI$2</f>
        <v>15.96</v>
      </c>
      <c r="N15" s="162">
        <f>CdTrp2!AX2*Troupeau!$C$17/CdTrp2!$AI$2</f>
        <v>15.96</v>
      </c>
      <c r="O15" s="162">
        <f>CdTrp2!AY2*Troupeau!$C$17/CdTrp2!$AI$2</f>
        <v>15.96</v>
      </c>
      <c r="P15" s="162">
        <f>CdTrp2!AZ2*Troupeau!$C$17/CdTrp2!$AI$2</f>
        <v>15.96</v>
      </c>
      <c r="Q15" s="162">
        <f>CdTrp2!BA2*Troupeau!$C$17/CdTrp2!$AI$2</f>
        <v>15.96</v>
      </c>
      <c r="R15" s="162">
        <f>CdTrp2!BB2*Troupeau!$C$17/CdTrp2!$AI$2</f>
        <v>15.12</v>
      </c>
      <c r="S15" s="162">
        <f>CdTrp2!BC2*Troupeau!$C$17/CdTrp2!$AI$2</f>
        <v>15.12</v>
      </c>
      <c r="T15" s="162">
        <f>CdTrp2!BD2*Troupeau!$C$17/CdTrp2!$AI$2</f>
        <v>15.12</v>
      </c>
      <c r="U15" s="162">
        <f>CdTrp2!BE2*Troupeau!$C$17/CdTrp2!$AI$2</f>
        <v>15.12</v>
      </c>
      <c r="V15" s="162">
        <f>CdTrp2!BF2*Troupeau!$C$17/CdTrp2!$AI$2</f>
        <v>15.96</v>
      </c>
      <c r="W15" s="162">
        <f>CdTrp2!BG2*Troupeau!$C$17/CdTrp2!$AI$2</f>
        <v>15.96</v>
      </c>
      <c r="X15" s="162">
        <f>CdTrp2!BH2*Troupeau!$C$17/CdTrp2!$AI$2</f>
        <v>15.96</v>
      </c>
      <c r="Y15" s="162">
        <f>CdTrp2!BI2*Troupeau!$C$17/CdTrp2!$AI$2</f>
        <v>15.96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1.68</v>
      </c>
      <c r="H16" s="162">
        <f>CdTrp2!AR3*Troupeau!$C$17/CdTrp2!$AI$2</f>
        <v>3.36</v>
      </c>
      <c r="I16" s="162">
        <f>CdTrp2!AS3*Troupeau!$C$17/CdTrp2!$AI$2</f>
        <v>5.04</v>
      </c>
      <c r="J16" s="162">
        <f>CdTrp2!AT3*Troupeau!$C$17/CdTrp2!$AI$2</f>
        <v>5.04</v>
      </c>
      <c r="K16" s="162">
        <f>CdTrp2!AU3*Troupeau!$C$17/CdTrp2!$AI$2</f>
        <v>5.04</v>
      </c>
      <c r="L16" s="162">
        <f>CdTrp2!AV3*Troupeau!$C$17/CdTrp2!$AI$2</f>
        <v>5.04</v>
      </c>
      <c r="M16" s="162">
        <f>CdTrp2!AW3*Troupeau!$C$17/CdTrp2!$AI$2</f>
        <v>5.04</v>
      </c>
      <c r="N16" s="162">
        <f>CdTrp2!AX3*Troupeau!$C$17/CdTrp2!$AI$2</f>
        <v>5.04</v>
      </c>
      <c r="O16" s="162">
        <f>CdTrp2!AY3*Troupeau!$C$17/CdTrp2!$AI$2</f>
        <v>5.04</v>
      </c>
      <c r="P16" s="162">
        <f>CdTrp2!AZ3*Troupeau!$C$17/CdTrp2!$AI$2</f>
        <v>5.04</v>
      </c>
      <c r="Q16" s="162">
        <f>CdTrp2!BA3*Troupeau!$C$17/CdTrp2!$AI$2</f>
        <v>5.04</v>
      </c>
      <c r="R16" s="162">
        <f>CdTrp2!BB3*Troupeau!$C$17/CdTrp2!$AI$2</f>
        <v>5.04</v>
      </c>
      <c r="S16" s="162">
        <f>CdTrp2!BC3*Troupeau!$C$17/CdTrp2!$AI$2</f>
        <v>5.04</v>
      </c>
      <c r="T16" s="162">
        <f>CdTrp2!BD3*Troupeau!$C$17/CdTrp2!$AI$2</f>
        <v>4.2</v>
      </c>
      <c r="U16" s="162">
        <f>CdTrp2!BE3*Troupeau!$C$17/CdTrp2!$AI$2</f>
        <v>4.2</v>
      </c>
      <c r="V16" s="162">
        <f>CdTrp2!BF3*Troupeau!$C$17/CdTrp2!$AI$2</f>
        <v>1.68</v>
      </c>
      <c r="W16" s="162">
        <f>CdTrp2!BG3*Troupeau!$C$17/CdTrp2!$AI$2</f>
        <v>0.84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10.08</v>
      </c>
      <c r="C17" s="162">
        <f>CdTrp2!AM4*Troupeau!$C$17/CdTrp2!$AI$2</f>
        <v>10.08</v>
      </c>
      <c r="D17" s="162">
        <f>CdTrp2!AN4*Troupeau!$C$17/CdTrp2!$AI$2</f>
        <v>10.08</v>
      </c>
      <c r="E17" s="162">
        <f>CdTrp2!AO4*Troupeau!$C$17/CdTrp2!$AI$2</f>
        <v>10.08</v>
      </c>
      <c r="F17" s="162">
        <f>CdTrp2!AP4*Troupeau!$C$17/CdTrp2!$AI$2</f>
        <v>10.08</v>
      </c>
      <c r="G17" s="162">
        <f>CdTrp2!AQ4*Troupeau!$C$17/CdTrp2!$AI$2</f>
        <v>10.08</v>
      </c>
      <c r="H17" s="162">
        <f>CdTrp2!AR4*Troupeau!$C$17/CdTrp2!$AI$2</f>
        <v>10.08</v>
      </c>
      <c r="I17" s="162">
        <f>CdTrp2!AS4*Troupeau!$C$17/CdTrp2!$AI$2</f>
        <v>10.08</v>
      </c>
      <c r="J17" s="162">
        <f>CdTrp2!AT4*Troupeau!$C$17/CdTrp2!$AI$2</f>
        <v>10.08</v>
      </c>
      <c r="K17" s="162">
        <f>CdTrp2!AU4*Troupeau!$C$17/CdTrp2!$AI$2</f>
        <v>10.08</v>
      </c>
      <c r="L17" s="162">
        <f>CdTrp2!AV4*Troupeau!$C$17/CdTrp2!$AI$2</f>
        <v>10.08</v>
      </c>
      <c r="M17" s="162">
        <f>CdTrp2!AW4*Troupeau!$C$17/CdTrp2!$AI$2</f>
        <v>10.08</v>
      </c>
      <c r="N17" s="162">
        <f>CdTrp2!AX4*Troupeau!$C$17/CdTrp2!$AI$2</f>
        <v>10.08</v>
      </c>
      <c r="O17" s="162">
        <f>CdTrp2!AY4*Troupeau!$C$17/CdTrp2!$AI$2</f>
        <v>10.08</v>
      </c>
      <c r="P17" s="162">
        <f>CdTrp2!AZ4*Troupeau!$C$17/CdTrp2!$AI$2</f>
        <v>10.08</v>
      </c>
      <c r="Q17" s="162">
        <f>CdTrp2!BA4*Troupeau!$C$17/CdTrp2!$AI$2</f>
        <v>10.08</v>
      </c>
      <c r="R17" s="162">
        <f>CdTrp2!BB4*Troupeau!$C$17/CdTrp2!$AI$2</f>
        <v>10.08</v>
      </c>
      <c r="S17" s="162">
        <f>CdTrp2!BC4*Troupeau!$C$17/CdTrp2!$AI$2</f>
        <v>10.08</v>
      </c>
      <c r="T17" s="162">
        <f>CdTrp2!BD4*Troupeau!$C$17/CdTrp2!$AI$2</f>
        <v>10.08</v>
      </c>
      <c r="U17" s="162">
        <f>CdTrp2!BE4*Troupeau!$C$17/CdTrp2!$AI$2</f>
        <v>10.08</v>
      </c>
      <c r="V17" s="162">
        <f>CdTrp2!BF4*Troupeau!$C$17/CdTrp2!$AI$2</f>
        <v>10.08</v>
      </c>
      <c r="W17" s="162">
        <f>CdTrp2!BG4*Troupeau!$C$17/CdTrp2!$AI$2</f>
        <v>10.08</v>
      </c>
      <c r="X17" s="162">
        <f>CdTrp2!BH4*Troupeau!$C$17/CdTrp2!$AI$2</f>
        <v>10.08</v>
      </c>
      <c r="Y17" s="162">
        <f>CdTrp2!BI4*Troupeau!$C$17/CdTrp2!$AI$2</f>
        <v>10.08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6029.1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2570.4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15.385440000000001</v>
      </c>
      <c r="C39" s="61">
        <f t="shared" ref="C39:Y48" si="13">C15*C27</f>
        <v>15.3216</v>
      </c>
      <c r="D39" s="61">
        <f t="shared" si="13"/>
        <v>15.3216</v>
      </c>
      <c r="E39" s="61">
        <f t="shared" si="13"/>
        <v>15.3216</v>
      </c>
      <c r="F39" s="61">
        <f t="shared" si="13"/>
        <v>15.3216</v>
      </c>
      <c r="G39" s="61">
        <f t="shared" si="13"/>
        <v>14.427840000000002</v>
      </c>
      <c r="H39" s="61">
        <f t="shared" si="13"/>
        <v>14.140560000000001</v>
      </c>
      <c r="I39" s="61">
        <f t="shared" si="13"/>
        <v>13.85328</v>
      </c>
      <c r="J39" s="61">
        <f t="shared" si="13"/>
        <v>13.566000000000001</v>
      </c>
      <c r="K39" s="61">
        <f t="shared" si="13"/>
        <v>13.566000000000001</v>
      </c>
      <c r="L39" s="61">
        <f t="shared" si="13"/>
        <v>13.566000000000001</v>
      </c>
      <c r="M39" s="61">
        <f t="shared" si="13"/>
        <v>13.566000000000001</v>
      </c>
      <c r="N39" s="61">
        <f t="shared" si="13"/>
        <v>13.566000000000001</v>
      </c>
      <c r="O39" s="61">
        <f t="shared" si="13"/>
        <v>13.566000000000001</v>
      </c>
      <c r="P39" s="61">
        <f t="shared" si="13"/>
        <v>13.566000000000001</v>
      </c>
      <c r="Q39" s="61">
        <f t="shared" si="13"/>
        <v>13.566000000000001</v>
      </c>
      <c r="R39" s="61">
        <f t="shared" si="13"/>
        <v>12.851999999999999</v>
      </c>
      <c r="S39" s="61">
        <f t="shared" si="13"/>
        <v>12.851999999999999</v>
      </c>
      <c r="T39" s="61">
        <f t="shared" si="13"/>
        <v>13.214879999999999</v>
      </c>
      <c r="U39" s="61">
        <f t="shared" si="13"/>
        <v>13.577760000000001</v>
      </c>
      <c r="V39" s="61">
        <f t="shared" si="13"/>
        <v>14.715119999999999</v>
      </c>
      <c r="W39" s="61">
        <f t="shared" si="13"/>
        <v>15.0024</v>
      </c>
      <c r="X39" s="61">
        <f t="shared" si="13"/>
        <v>15.289680000000001</v>
      </c>
      <c r="Y39" s="61">
        <f t="shared" si="13"/>
        <v>15.57696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0.58799999999999997</v>
      </c>
      <c r="H40" s="61">
        <f t="shared" si="14"/>
        <v>1.1759999999999999</v>
      </c>
      <c r="I40" s="61">
        <f t="shared" si="14"/>
        <v>1.7639999999999998</v>
      </c>
      <c r="J40" s="61">
        <f t="shared" si="14"/>
        <v>1.7639999999999998</v>
      </c>
      <c r="K40" s="61">
        <f t="shared" si="14"/>
        <v>1.7639999999999998</v>
      </c>
      <c r="L40" s="61">
        <f t="shared" si="14"/>
        <v>1.7639999999999998</v>
      </c>
      <c r="M40" s="61">
        <f t="shared" si="14"/>
        <v>1.7639999999999998</v>
      </c>
      <c r="N40" s="61">
        <f t="shared" si="14"/>
        <v>1.7639999999999998</v>
      </c>
      <c r="O40" s="61">
        <f t="shared" si="14"/>
        <v>1.7639999999999998</v>
      </c>
      <c r="P40" s="61">
        <f t="shared" si="14"/>
        <v>1.7639999999999998</v>
      </c>
      <c r="Q40" s="61">
        <f t="shared" si="14"/>
        <v>1.7639999999999998</v>
      </c>
      <c r="R40" s="61">
        <f t="shared" si="13"/>
        <v>1.7639999999999998</v>
      </c>
      <c r="S40" s="61">
        <f t="shared" si="13"/>
        <v>1.7639999999999998</v>
      </c>
      <c r="T40" s="61">
        <f t="shared" si="13"/>
        <v>1.47</v>
      </c>
      <c r="U40" s="61">
        <f t="shared" si="13"/>
        <v>1.47</v>
      </c>
      <c r="V40" s="61">
        <f t="shared" si="13"/>
        <v>0.58799999999999997</v>
      </c>
      <c r="W40" s="61">
        <f t="shared" si="13"/>
        <v>0.29399999999999998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7.0559999999999992</v>
      </c>
      <c r="C41" s="61">
        <f t="shared" si="13"/>
        <v>7.0559999999999992</v>
      </c>
      <c r="D41" s="61">
        <f t="shared" si="13"/>
        <v>7.0559999999999992</v>
      </c>
      <c r="E41" s="61">
        <f t="shared" si="13"/>
        <v>7.0559999999999992</v>
      </c>
      <c r="F41" s="61">
        <f t="shared" si="13"/>
        <v>7.0559999999999992</v>
      </c>
      <c r="G41" s="61">
        <f t="shared" si="13"/>
        <v>7.0559999999999992</v>
      </c>
      <c r="H41" s="61">
        <f t="shared" si="13"/>
        <v>7.0559999999999992</v>
      </c>
      <c r="I41" s="61">
        <f t="shared" si="13"/>
        <v>7.0559999999999992</v>
      </c>
      <c r="J41" s="61">
        <f t="shared" si="13"/>
        <v>7.0559999999999992</v>
      </c>
      <c r="K41" s="61">
        <f t="shared" si="13"/>
        <v>7.0559999999999992</v>
      </c>
      <c r="L41" s="61">
        <f t="shared" si="13"/>
        <v>7.0559999999999992</v>
      </c>
      <c r="M41" s="61">
        <f t="shared" si="13"/>
        <v>7.0559999999999992</v>
      </c>
      <c r="N41" s="61">
        <f t="shared" si="13"/>
        <v>7.0559999999999992</v>
      </c>
      <c r="O41" s="61">
        <f t="shared" si="13"/>
        <v>7.0559999999999992</v>
      </c>
      <c r="P41" s="61">
        <f t="shared" si="13"/>
        <v>7.0559999999999992</v>
      </c>
      <c r="Q41" s="61">
        <f t="shared" si="13"/>
        <v>7.0559999999999992</v>
      </c>
      <c r="R41" s="61">
        <f t="shared" si="13"/>
        <v>7.0559999999999992</v>
      </c>
      <c r="S41" s="61">
        <f t="shared" si="13"/>
        <v>7.0559999999999992</v>
      </c>
      <c r="T41" s="61">
        <f t="shared" si="13"/>
        <v>7.0559999999999992</v>
      </c>
      <c r="U41" s="61">
        <f t="shared" si="13"/>
        <v>7.0559999999999992</v>
      </c>
      <c r="V41" s="61">
        <f t="shared" si="13"/>
        <v>7.0559999999999992</v>
      </c>
      <c r="W41" s="61">
        <f t="shared" si="13"/>
        <v>7.0559999999999992</v>
      </c>
      <c r="X41" s="61">
        <f t="shared" si="13"/>
        <v>7.0559999999999992</v>
      </c>
      <c r="Y41" s="61">
        <f t="shared" si="13"/>
        <v>7.0559999999999992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22.44144</v>
      </c>
      <c r="C49" s="62">
        <f t="shared" ref="C49:Y49" si="15">SUM(C39:C48)</f>
        <v>22.377600000000001</v>
      </c>
      <c r="D49" s="62">
        <f t="shared" si="15"/>
        <v>22.377600000000001</v>
      </c>
      <c r="E49" s="62">
        <f t="shared" si="15"/>
        <v>22.377600000000001</v>
      </c>
      <c r="F49" s="62">
        <f t="shared" si="15"/>
        <v>22.377600000000001</v>
      </c>
      <c r="G49" s="62">
        <f t="shared" si="15"/>
        <v>22.071840000000002</v>
      </c>
      <c r="H49" s="62">
        <f t="shared" si="15"/>
        <v>22.37256</v>
      </c>
      <c r="I49" s="62">
        <f t="shared" si="15"/>
        <v>22.673279999999998</v>
      </c>
      <c r="J49" s="62">
        <f t="shared" si="15"/>
        <v>22.385999999999999</v>
      </c>
      <c r="K49" s="62">
        <f t="shared" si="15"/>
        <v>22.385999999999999</v>
      </c>
      <c r="L49" s="62">
        <f t="shared" si="15"/>
        <v>22.385999999999999</v>
      </c>
      <c r="M49" s="62">
        <f t="shared" si="15"/>
        <v>22.385999999999999</v>
      </c>
      <c r="N49" s="62">
        <f t="shared" si="15"/>
        <v>22.385999999999999</v>
      </c>
      <c r="O49" s="62">
        <f t="shared" si="15"/>
        <v>22.385999999999999</v>
      </c>
      <c r="P49" s="62">
        <f t="shared" si="15"/>
        <v>22.385999999999999</v>
      </c>
      <c r="Q49" s="62">
        <f t="shared" si="15"/>
        <v>22.385999999999999</v>
      </c>
      <c r="R49" s="62">
        <f t="shared" si="15"/>
        <v>21.671999999999997</v>
      </c>
      <c r="S49" s="62">
        <f t="shared" si="15"/>
        <v>21.671999999999997</v>
      </c>
      <c r="T49" s="62">
        <f t="shared" si="15"/>
        <v>21.740879999999997</v>
      </c>
      <c r="U49" s="62">
        <f t="shared" si="15"/>
        <v>22.103760000000001</v>
      </c>
      <c r="V49" s="62">
        <f t="shared" si="15"/>
        <v>22.359119999999997</v>
      </c>
      <c r="W49" s="62">
        <f t="shared" si="15"/>
        <v>22.352399999999999</v>
      </c>
      <c r="X49" s="62">
        <f t="shared" si="15"/>
        <v>22.345680000000002</v>
      </c>
      <c r="Y49" s="62">
        <f t="shared" si="15"/>
        <v>22.632959999999997</v>
      </c>
      <c r="Z49" s="23"/>
      <c r="AA49" s="46">
        <f>AVERAGE(B49:Y49)</f>
        <v>22.293180000000007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6</v>
      </c>
      <c r="AZ54" s="84">
        <f t="shared" si="17"/>
        <v>2.6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15.7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238.47432000000001</v>
      </c>
      <c r="C63" s="61">
        <f t="shared" si="18"/>
        <v>237.48480000000001</v>
      </c>
      <c r="D63" s="61">
        <f t="shared" si="18"/>
        <v>214.50239999999999</v>
      </c>
      <c r="E63" s="61">
        <f t="shared" si="18"/>
        <v>214.50239999999999</v>
      </c>
      <c r="F63" s="61">
        <f t="shared" si="18"/>
        <v>237.48480000000001</v>
      </c>
      <c r="G63" s="61">
        <f t="shared" si="18"/>
        <v>223.63152000000002</v>
      </c>
      <c r="H63" s="61">
        <f t="shared" si="18"/>
        <v>106.05420000000001</v>
      </c>
      <c r="I63" s="61">
        <f t="shared" si="18"/>
        <v>103.89959999999999</v>
      </c>
      <c r="J63" s="61">
        <f t="shared" si="18"/>
        <v>105.13650000000001</v>
      </c>
      <c r="K63" s="61">
        <f t="shared" si="18"/>
        <v>105.13650000000001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102.41531999999999</v>
      </c>
      <c r="U63" s="61">
        <f t="shared" si="18"/>
        <v>105.22764000000001</v>
      </c>
      <c r="V63" s="61">
        <f t="shared" si="18"/>
        <v>110.36339999999998</v>
      </c>
      <c r="W63" s="61">
        <f t="shared" si="18"/>
        <v>112.518</v>
      </c>
      <c r="X63" s="61">
        <f t="shared" si="18"/>
        <v>236.99004000000002</v>
      </c>
      <c r="Y63" s="61">
        <f t="shared" si="18"/>
        <v>241.44288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4.41</v>
      </c>
      <c r="W64" s="61">
        <f t="shared" si="18"/>
        <v>2.2050000000000001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109.36799999999998</v>
      </c>
      <c r="C65" s="61">
        <f t="shared" si="18"/>
        <v>109.36799999999998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109.36799999999998</v>
      </c>
      <c r="Y65" s="61">
        <f t="shared" si="18"/>
        <v>109.36799999999998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348</v>
      </c>
      <c r="C73" s="64">
        <f t="shared" ref="C73:Y73" si="19">ROUND(SUM(C63:C72),0)</f>
        <v>347</v>
      </c>
      <c r="D73" s="64">
        <f t="shared" si="19"/>
        <v>215</v>
      </c>
      <c r="E73" s="64">
        <f t="shared" si="19"/>
        <v>215</v>
      </c>
      <c r="F73" s="64">
        <f t="shared" si="19"/>
        <v>237</v>
      </c>
      <c r="G73" s="64">
        <f t="shared" si="19"/>
        <v>224</v>
      </c>
      <c r="H73" s="64">
        <f t="shared" si="19"/>
        <v>106</v>
      </c>
      <c r="I73" s="64">
        <f t="shared" si="19"/>
        <v>104</v>
      </c>
      <c r="J73" s="64">
        <f t="shared" si="19"/>
        <v>105</v>
      </c>
      <c r="K73" s="64">
        <f t="shared" si="19"/>
        <v>105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102</v>
      </c>
      <c r="U73" s="64">
        <f t="shared" si="19"/>
        <v>105</v>
      </c>
      <c r="V73" s="64">
        <f t="shared" si="19"/>
        <v>115</v>
      </c>
      <c r="W73" s="64">
        <f t="shared" si="19"/>
        <v>115</v>
      </c>
      <c r="X73" s="64">
        <f t="shared" si="19"/>
        <v>346</v>
      </c>
      <c r="Y73" s="64">
        <f t="shared" si="19"/>
        <v>351</v>
      </c>
      <c r="Z73" s="52"/>
      <c r="AA73" s="56">
        <f>ROUND(SUM(B73:Y73),0)</f>
        <v>3140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2</v>
      </c>
      <c r="R76" s="60">
        <v>2</v>
      </c>
      <c r="S76" s="60">
        <v>2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28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14.5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13.5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2.9698001984000002</v>
      </c>
      <c r="C110" s="61">
        <f t="shared" si="31"/>
        <v>2.9574773759999999</v>
      </c>
      <c r="D110" s="61">
        <f t="shared" si="31"/>
        <v>2.6712698879999999</v>
      </c>
      <c r="E110" s="61">
        <f t="shared" si="31"/>
        <v>2.6712698879999999</v>
      </c>
      <c r="F110" s="61">
        <f t="shared" si="31"/>
        <v>2.9574773759999999</v>
      </c>
      <c r="G110" s="61">
        <f t="shared" si="31"/>
        <v>2.7849578624000002</v>
      </c>
      <c r="H110" s="61">
        <f t="shared" si="31"/>
        <v>2.5983279000000001</v>
      </c>
      <c r="I110" s="61">
        <f t="shared" si="31"/>
        <v>2.5455402</v>
      </c>
      <c r="J110" s="61">
        <f t="shared" si="31"/>
        <v>2.5758442500000003</v>
      </c>
      <c r="K110" s="61">
        <f t="shared" si="31"/>
        <v>2.5758442500000003</v>
      </c>
      <c r="L110" s="61">
        <f t="shared" si="31"/>
        <v>2.4927524999999999</v>
      </c>
      <c r="M110" s="61">
        <f t="shared" si="31"/>
        <v>2.4927524999999999</v>
      </c>
      <c r="N110" s="61">
        <f t="shared" si="31"/>
        <v>2.5758442500000003</v>
      </c>
      <c r="O110" s="61">
        <f t="shared" si="31"/>
        <v>2.5758442500000003</v>
      </c>
      <c r="P110" s="61">
        <f t="shared" si="31"/>
        <v>2.5758442500000003</v>
      </c>
      <c r="Q110" s="61">
        <f t="shared" si="31"/>
        <v>2.5758442500000003</v>
      </c>
      <c r="R110" s="61">
        <f t="shared" si="31"/>
        <v>2.1205799999999999</v>
      </c>
      <c r="S110" s="61">
        <f t="shared" si="31"/>
        <v>2.1205799999999999</v>
      </c>
      <c r="T110" s="61">
        <f t="shared" si="31"/>
        <v>2.8676289600000002</v>
      </c>
      <c r="U110" s="61">
        <f t="shared" si="31"/>
        <v>2.9463739200000001</v>
      </c>
      <c r="V110" s="61">
        <f t="shared" si="31"/>
        <v>3.0901751999999996</v>
      </c>
      <c r="W110" s="61">
        <f t="shared" si="31"/>
        <v>3.1505039999999997</v>
      </c>
      <c r="X110" s="61">
        <f t="shared" si="31"/>
        <v>2.9513159648</v>
      </c>
      <c r="Y110" s="61">
        <f t="shared" si="31"/>
        <v>3.0067686656000001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0.11848199999999999</v>
      </c>
      <c r="H111" s="61">
        <f t="shared" si="31"/>
        <v>0.22932</v>
      </c>
      <c r="I111" s="61">
        <f t="shared" si="31"/>
        <v>0.34397999999999995</v>
      </c>
      <c r="J111" s="61">
        <f t="shared" si="31"/>
        <v>0.35544599999999993</v>
      </c>
      <c r="K111" s="61">
        <f t="shared" si="31"/>
        <v>0.35544599999999993</v>
      </c>
      <c r="L111" s="61">
        <f t="shared" si="31"/>
        <v>0.34397999999999995</v>
      </c>
      <c r="M111" s="61">
        <f t="shared" si="31"/>
        <v>0.34397999999999995</v>
      </c>
      <c r="N111" s="61">
        <f t="shared" si="31"/>
        <v>0.35544599999999993</v>
      </c>
      <c r="O111" s="61">
        <f t="shared" si="31"/>
        <v>0.35544599999999993</v>
      </c>
      <c r="P111" s="61">
        <f t="shared" si="31"/>
        <v>0.35544599999999993</v>
      </c>
      <c r="Q111" s="61">
        <f t="shared" si="31"/>
        <v>0.35544599999999993</v>
      </c>
      <c r="R111" s="61">
        <f t="shared" si="31"/>
        <v>0.34397999999999995</v>
      </c>
      <c r="S111" s="61">
        <f t="shared" si="31"/>
        <v>0.34397999999999995</v>
      </c>
      <c r="T111" s="61">
        <f t="shared" si="31"/>
        <v>0.296205</v>
      </c>
      <c r="U111" s="61">
        <f t="shared" si="31"/>
        <v>0.296205</v>
      </c>
      <c r="V111" s="61">
        <f t="shared" si="31"/>
        <v>0.11466</v>
      </c>
      <c r="W111" s="61">
        <f t="shared" si="31"/>
        <v>5.7329999999999999E-2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1.3619961599999997</v>
      </c>
      <c r="C112" s="61">
        <f t="shared" si="31"/>
        <v>1.3619961599999997</v>
      </c>
      <c r="D112" s="61">
        <f t="shared" si="31"/>
        <v>1.2301900799999999</v>
      </c>
      <c r="E112" s="61">
        <f t="shared" si="31"/>
        <v>1.2301900799999999</v>
      </c>
      <c r="F112" s="61">
        <f t="shared" si="31"/>
        <v>1.4217839999999997</v>
      </c>
      <c r="G112" s="61">
        <f t="shared" si="31"/>
        <v>1.4217839999999997</v>
      </c>
      <c r="H112" s="61">
        <f t="shared" si="31"/>
        <v>1.3759199999999998</v>
      </c>
      <c r="I112" s="61">
        <f t="shared" si="31"/>
        <v>1.3759199999999998</v>
      </c>
      <c r="J112" s="61">
        <f t="shared" si="31"/>
        <v>1.4217839999999997</v>
      </c>
      <c r="K112" s="61">
        <f t="shared" si="31"/>
        <v>1.4217839999999997</v>
      </c>
      <c r="L112" s="61">
        <f t="shared" si="31"/>
        <v>1.3759199999999998</v>
      </c>
      <c r="M112" s="61">
        <f t="shared" si="31"/>
        <v>1.3759199999999998</v>
      </c>
      <c r="N112" s="61">
        <f t="shared" si="31"/>
        <v>1.4217839999999997</v>
      </c>
      <c r="O112" s="61">
        <f t="shared" si="31"/>
        <v>1.4217839999999997</v>
      </c>
      <c r="P112" s="61">
        <f t="shared" si="31"/>
        <v>1.4217839999999997</v>
      </c>
      <c r="Q112" s="61">
        <f t="shared" si="31"/>
        <v>1.4217839999999997</v>
      </c>
      <c r="R112" s="61">
        <f t="shared" si="31"/>
        <v>1.3759199999999998</v>
      </c>
      <c r="S112" s="61">
        <f t="shared" si="31"/>
        <v>1.3759199999999998</v>
      </c>
      <c r="T112" s="61">
        <f t="shared" si="31"/>
        <v>1.4217839999999997</v>
      </c>
      <c r="U112" s="61">
        <f t="shared" si="31"/>
        <v>1.4217839999999997</v>
      </c>
      <c r="V112" s="61">
        <f t="shared" si="31"/>
        <v>1.3759199999999998</v>
      </c>
      <c r="W112" s="61">
        <f t="shared" si="31"/>
        <v>1.3759199999999998</v>
      </c>
      <c r="X112" s="61">
        <f t="shared" si="31"/>
        <v>1.3619961599999997</v>
      </c>
      <c r="Y112" s="61">
        <f t="shared" si="31"/>
        <v>1.3619961599999997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4.3999999999999995</v>
      </c>
      <c r="C120" s="61">
        <f t="shared" ref="C120:Y120" si="32">SUM(C110:C119)</f>
        <v>4.3194735359999994</v>
      </c>
      <c r="D120" s="61">
        <f t="shared" si="32"/>
        <v>3.9014599679999997</v>
      </c>
      <c r="E120" s="61">
        <f t="shared" si="32"/>
        <v>3.9014599679999997</v>
      </c>
      <c r="F120" s="61">
        <f t="shared" si="32"/>
        <v>4.3792613759999997</v>
      </c>
      <c r="G120" s="61">
        <f t="shared" si="32"/>
        <v>4.3252238623999997</v>
      </c>
      <c r="H120" s="61">
        <f t="shared" si="32"/>
        <v>4.2035678999999995</v>
      </c>
      <c r="I120" s="61">
        <f t="shared" si="32"/>
        <v>4.2654401999999996</v>
      </c>
      <c r="J120" s="61">
        <f t="shared" si="32"/>
        <v>4.3530742499999997</v>
      </c>
      <c r="K120" s="61">
        <f t="shared" si="32"/>
        <v>4.3530742499999997</v>
      </c>
      <c r="L120" s="61">
        <f t="shared" si="32"/>
        <v>4.2126524999999999</v>
      </c>
      <c r="M120" s="61">
        <f t="shared" si="32"/>
        <v>4.2126524999999999</v>
      </c>
      <c r="N120" s="61">
        <f t="shared" si="32"/>
        <v>4.3530742499999997</v>
      </c>
      <c r="O120" s="61">
        <f t="shared" si="32"/>
        <v>4.3530742499999997</v>
      </c>
      <c r="P120" s="61">
        <f t="shared" si="32"/>
        <v>4.3530742499999997</v>
      </c>
      <c r="Q120" s="61">
        <f t="shared" si="32"/>
        <v>4.3530742499999997</v>
      </c>
      <c r="R120" s="61">
        <f t="shared" si="32"/>
        <v>3.8404799999999994</v>
      </c>
      <c r="S120" s="61">
        <f t="shared" si="32"/>
        <v>3.8404799999999994</v>
      </c>
      <c r="T120" s="61">
        <f t="shared" si="32"/>
        <v>4.5856179600000004</v>
      </c>
      <c r="U120" s="61">
        <f t="shared" si="32"/>
        <v>4.6643629200000003</v>
      </c>
      <c r="V120" s="61">
        <f t="shared" si="32"/>
        <v>4.5807551999999996</v>
      </c>
      <c r="W120" s="61">
        <f t="shared" si="32"/>
        <v>4.583753999999999</v>
      </c>
      <c r="X120" s="61">
        <f t="shared" si="32"/>
        <v>4.3133121247999995</v>
      </c>
      <c r="Y120" s="61">
        <f t="shared" si="32"/>
        <v>4.3687648255999996</v>
      </c>
      <c r="AA120" s="57">
        <f>SUM(B120:Y120)</f>
        <v>103.01716434079999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0.8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0.7</v>
      </c>
      <c r="R123" s="60">
        <v>0.8</v>
      </c>
      <c r="S123" s="60">
        <v>0.8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2.9698001984000002</v>
      </c>
      <c r="C136" s="61">
        <f t="shared" ref="C136:Y136" si="33">C110*(1-C123)</f>
        <v>2.9574773759999999</v>
      </c>
      <c r="D136" s="61">
        <f t="shared" si="33"/>
        <v>2.6712698879999999</v>
      </c>
      <c r="E136" s="61">
        <f t="shared" si="33"/>
        <v>2.6712698879999999</v>
      </c>
      <c r="F136" s="61">
        <f t="shared" si="33"/>
        <v>2.9574773759999999</v>
      </c>
      <c r="G136" s="61">
        <f t="shared" si="33"/>
        <v>2.7849578624000002</v>
      </c>
      <c r="H136" s="61">
        <f t="shared" si="33"/>
        <v>0</v>
      </c>
      <c r="I136" s="61">
        <f t="shared" si="33"/>
        <v>0.50910803999999987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0.77275327500000024</v>
      </c>
      <c r="R136" s="61">
        <f t="shared" si="33"/>
        <v>0.42411599999999988</v>
      </c>
      <c r="S136" s="61">
        <f t="shared" si="33"/>
        <v>0.42411599999999988</v>
      </c>
      <c r="T136" s="61">
        <f t="shared" si="33"/>
        <v>1.4338144800000001</v>
      </c>
      <c r="U136" s="61">
        <f t="shared" si="33"/>
        <v>1.47318696</v>
      </c>
      <c r="V136" s="61">
        <f t="shared" si="33"/>
        <v>1.5450875999999998</v>
      </c>
      <c r="W136" s="61">
        <f t="shared" si="33"/>
        <v>1.5752519999999999</v>
      </c>
      <c r="X136" s="61">
        <f t="shared" si="33"/>
        <v>2.9513159648</v>
      </c>
      <c r="Y136" s="61">
        <f t="shared" si="33"/>
        <v>3.0067686656000001</v>
      </c>
      <c r="AA136" s="61">
        <f>SUM(B136:Y136)</f>
        <v>31.127771574199997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5.9240999999999995E-2</v>
      </c>
      <c r="H137" s="61">
        <f t="shared" si="34"/>
        <v>0.11466</v>
      </c>
      <c r="I137" s="61">
        <f t="shared" si="34"/>
        <v>0.17198999999999998</v>
      </c>
      <c r="J137" s="61">
        <f t="shared" si="34"/>
        <v>0.17772299999999996</v>
      </c>
      <c r="K137" s="61">
        <f t="shared" si="34"/>
        <v>0.17772299999999996</v>
      </c>
      <c r="L137" s="61">
        <f t="shared" si="34"/>
        <v>0.17198999999999998</v>
      </c>
      <c r="M137" s="61">
        <f t="shared" si="34"/>
        <v>0.17198999999999998</v>
      </c>
      <c r="N137" s="61">
        <f t="shared" si="34"/>
        <v>0.17772299999999996</v>
      </c>
      <c r="O137" s="61">
        <f t="shared" si="34"/>
        <v>0.17772299999999996</v>
      </c>
      <c r="P137" s="61">
        <f t="shared" si="34"/>
        <v>0.17772299999999996</v>
      </c>
      <c r="Q137" s="61">
        <f t="shared" si="34"/>
        <v>0.17772299999999996</v>
      </c>
      <c r="R137" s="61">
        <f t="shared" si="34"/>
        <v>0.17198999999999998</v>
      </c>
      <c r="S137" s="61">
        <f t="shared" si="34"/>
        <v>0.17198999999999998</v>
      </c>
      <c r="T137" s="61">
        <f t="shared" si="34"/>
        <v>0.1481025</v>
      </c>
      <c r="U137" s="61">
        <f t="shared" si="34"/>
        <v>0.1481025</v>
      </c>
      <c r="V137" s="61">
        <f t="shared" si="34"/>
        <v>5.7329999999999999E-2</v>
      </c>
      <c r="W137" s="61">
        <f t="shared" si="34"/>
        <v>2.8665E-2</v>
      </c>
      <c r="X137" s="61">
        <f t="shared" si="34"/>
        <v>0</v>
      </c>
      <c r="Y137" s="61">
        <f t="shared" si="34"/>
        <v>0</v>
      </c>
      <c r="AA137" s="61">
        <f>SUM(B137:Y137)</f>
        <v>2.4823889999999991</v>
      </c>
    </row>
    <row r="138" spans="1:31" x14ac:dyDescent="0.25">
      <c r="A138" s="128" t="str">
        <f>A$17</f>
        <v>genisses +1an</v>
      </c>
      <c r="B138" s="61">
        <f t="shared" si="34"/>
        <v>1.3619961599999997</v>
      </c>
      <c r="C138" s="61">
        <f t="shared" si="34"/>
        <v>1.3619961599999997</v>
      </c>
      <c r="D138" s="61">
        <f t="shared" si="34"/>
        <v>1.2301900799999999</v>
      </c>
      <c r="E138" s="61">
        <f t="shared" si="34"/>
        <v>1.2301900799999999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1.3619961599999997</v>
      </c>
      <c r="Y138" s="61">
        <f t="shared" si="34"/>
        <v>1.3619961599999997</v>
      </c>
      <c r="AA138" s="61">
        <f t="shared" ref="AA138:AA144" si="35">SUM(B138:Y138)</f>
        <v>7.9083647999999975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41.518525374199996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43.594451642909995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2.5983279000000001</v>
      </c>
      <c r="I149" s="61">
        <f t="shared" si="37"/>
        <v>2.0364321600000004</v>
      </c>
      <c r="J149" s="61">
        <f t="shared" si="37"/>
        <v>2.5758442500000003</v>
      </c>
      <c r="K149" s="61">
        <f t="shared" si="37"/>
        <v>2.5758442500000003</v>
      </c>
      <c r="L149" s="61">
        <f t="shared" si="37"/>
        <v>2.4927524999999999</v>
      </c>
      <c r="M149" s="61">
        <f t="shared" si="37"/>
        <v>2.4927524999999999</v>
      </c>
      <c r="N149" s="61">
        <f t="shared" si="37"/>
        <v>2.5758442500000003</v>
      </c>
      <c r="O149" s="61">
        <f t="shared" si="37"/>
        <v>2.5758442500000003</v>
      </c>
      <c r="P149" s="61">
        <f t="shared" si="37"/>
        <v>2.5758442500000003</v>
      </c>
      <c r="Q149" s="61">
        <f t="shared" si="37"/>
        <v>1.8030909749999999</v>
      </c>
      <c r="R149" s="61">
        <f t="shared" si="37"/>
        <v>1.696464</v>
      </c>
      <c r="S149" s="61">
        <f t="shared" si="37"/>
        <v>1.696464</v>
      </c>
      <c r="T149" s="61">
        <f t="shared" si="37"/>
        <v>1.4338144800000001</v>
      </c>
      <c r="U149" s="61">
        <f t="shared" si="37"/>
        <v>1.47318696</v>
      </c>
      <c r="V149" s="61">
        <f t="shared" si="37"/>
        <v>1.5450875999999998</v>
      </c>
      <c r="W149" s="61">
        <f t="shared" si="37"/>
        <v>1.5752519999999999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5.9240999999999995E-2</v>
      </c>
      <c r="H150" s="61">
        <f t="shared" si="38"/>
        <v>0.11466</v>
      </c>
      <c r="I150" s="61">
        <f t="shared" si="38"/>
        <v>0.17198999999999998</v>
      </c>
      <c r="J150" s="61">
        <f t="shared" si="38"/>
        <v>0.17772299999999996</v>
      </c>
      <c r="K150" s="61">
        <f t="shared" si="38"/>
        <v>0.17772299999999996</v>
      </c>
      <c r="L150" s="61">
        <f t="shared" si="38"/>
        <v>0.17198999999999998</v>
      </c>
      <c r="M150" s="61">
        <f t="shared" si="38"/>
        <v>0.17198999999999998</v>
      </c>
      <c r="N150" s="61">
        <f t="shared" si="38"/>
        <v>0.17772299999999996</v>
      </c>
      <c r="O150" s="61">
        <f t="shared" si="38"/>
        <v>0.17772299999999996</v>
      </c>
      <c r="P150" s="61">
        <f t="shared" si="38"/>
        <v>0.17772299999999996</v>
      </c>
      <c r="Q150" s="61">
        <f t="shared" si="38"/>
        <v>0.17772299999999996</v>
      </c>
      <c r="R150" s="61">
        <f t="shared" si="38"/>
        <v>0.17198999999999998</v>
      </c>
      <c r="S150" s="61">
        <f t="shared" si="38"/>
        <v>0.17198999999999998</v>
      </c>
      <c r="T150" s="61">
        <f t="shared" si="38"/>
        <v>0.1481025</v>
      </c>
      <c r="U150" s="61">
        <f t="shared" si="38"/>
        <v>0.1481025</v>
      </c>
      <c r="V150" s="61">
        <f t="shared" si="38"/>
        <v>5.7329999999999999E-2</v>
      </c>
      <c r="W150" s="61">
        <f t="shared" si="38"/>
        <v>2.8665E-2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1.4217839999999997</v>
      </c>
      <c r="G151" s="61">
        <f t="shared" si="39"/>
        <v>1.4217839999999997</v>
      </c>
      <c r="H151" s="61">
        <f t="shared" si="39"/>
        <v>1.3759199999999998</v>
      </c>
      <c r="I151" s="61">
        <f t="shared" si="39"/>
        <v>1.3759199999999998</v>
      </c>
      <c r="J151" s="61">
        <f t="shared" si="39"/>
        <v>1.4217839999999997</v>
      </c>
      <c r="K151" s="61">
        <f t="shared" si="39"/>
        <v>1.4217839999999997</v>
      </c>
      <c r="L151" s="61">
        <f t="shared" si="39"/>
        <v>1.3759199999999998</v>
      </c>
      <c r="M151" s="61">
        <f t="shared" si="39"/>
        <v>1.3759199999999998</v>
      </c>
      <c r="N151" s="61">
        <f t="shared" si="39"/>
        <v>1.4217839999999997</v>
      </c>
      <c r="O151" s="61">
        <f t="shared" si="39"/>
        <v>1.4217839999999997</v>
      </c>
      <c r="P151" s="61">
        <f t="shared" si="39"/>
        <v>1.4217839999999997</v>
      </c>
      <c r="Q151" s="61">
        <f t="shared" si="39"/>
        <v>1.4217839999999997</v>
      </c>
      <c r="R151" s="61">
        <f t="shared" si="39"/>
        <v>1.3759199999999998</v>
      </c>
      <c r="S151" s="61">
        <f t="shared" si="39"/>
        <v>1.3759199999999998</v>
      </c>
      <c r="T151" s="61">
        <f t="shared" si="39"/>
        <v>1.4217839999999997</v>
      </c>
      <c r="U151" s="61">
        <f t="shared" si="39"/>
        <v>1.4217839999999997</v>
      </c>
      <c r="V151" s="61">
        <f t="shared" si="39"/>
        <v>1.3759199999999998</v>
      </c>
      <c r="W151" s="61">
        <f t="shared" si="39"/>
        <v>1.3759199999999998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61.430435325000026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2.5983279000000001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2.4927524999999999</v>
      </c>
      <c r="M162" s="61">
        <f t="shared" si="47"/>
        <v>2.4927524999999999</v>
      </c>
      <c r="N162" s="61">
        <f t="shared" si="47"/>
        <v>2.5758442500000003</v>
      </c>
      <c r="O162" s="61">
        <f t="shared" si="47"/>
        <v>2.5758442500000003</v>
      </c>
      <c r="P162" s="61">
        <f t="shared" si="47"/>
        <v>2.5758442500000003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1.4338144800000001</v>
      </c>
      <c r="U162" s="61">
        <f t="shared" si="47"/>
        <v>1.47318696</v>
      </c>
      <c r="V162" s="61">
        <f t="shared" si="47"/>
        <v>1.5450875999999998</v>
      </c>
      <c r="W162" s="61">
        <f t="shared" si="47"/>
        <v>1.5752519999999999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0.11466</v>
      </c>
      <c r="I163" s="61">
        <f t="shared" si="48"/>
        <v>0.17198999999999998</v>
      </c>
      <c r="J163" s="61">
        <f t="shared" si="48"/>
        <v>0.17772299999999996</v>
      </c>
      <c r="K163" s="61">
        <f t="shared" si="48"/>
        <v>0.17772299999999996</v>
      </c>
      <c r="L163" s="61">
        <f t="shared" si="48"/>
        <v>0.17198999999999998</v>
      </c>
      <c r="M163" s="61">
        <f t="shared" si="48"/>
        <v>0.17198999999999998</v>
      </c>
      <c r="N163" s="61">
        <f t="shared" si="48"/>
        <v>0.17772299999999996</v>
      </c>
      <c r="O163" s="61">
        <f t="shared" si="48"/>
        <v>0.17772299999999996</v>
      </c>
      <c r="P163" s="61">
        <f t="shared" si="48"/>
        <v>0.17772299999999996</v>
      </c>
      <c r="Q163" s="61">
        <f t="shared" si="48"/>
        <v>0.17772299999999996</v>
      </c>
      <c r="R163" s="61">
        <f t="shared" si="48"/>
        <v>0.17198999999999998</v>
      </c>
      <c r="S163" s="61">
        <f t="shared" si="48"/>
        <v>0.17198999999999998</v>
      </c>
      <c r="T163" s="61">
        <f t="shared" si="48"/>
        <v>0.1481025</v>
      </c>
      <c r="U163" s="61">
        <f t="shared" si="48"/>
        <v>0.1481025</v>
      </c>
      <c r="V163" s="61">
        <f t="shared" si="48"/>
        <v>5.7329999999999999E-2</v>
      </c>
      <c r="W163" s="61">
        <f t="shared" si="48"/>
        <v>2.8665E-2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1.4217839999999997</v>
      </c>
      <c r="V164" s="61">
        <f t="shared" si="49"/>
        <v>1.3759199999999998</v>
      </c>
      <c r="W164" s="61">
        <f t="shared" si="49"/>
        <v>1.3759199999999998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2.7129879000000003</v>
      </c>
      <c r="I172" s="61">
        <f t="shared" si="57"/>
        <v>0.17198999999999998</v>
      </c>
      <c r="J172" s="61">
        <f t="shared" si="57"/>
        <v>0.17772299999999996</v>
      </c>
      <c r="K172" s="61">
        <f t="shared" si="57"/>
        <v>0.17772299999999996</v>
      </c>
      <c r="L172" s="61">
        <f t="shared" si="57"/>
        <v>2.6647425</v>
      </c>
      <c r="M172" s="61">
        <f t="shared" si="57"/>
        <v>2.6647425</v>
      </c>
      <c r="N172" s="61">
        <f t="shared" si="57"/>
        <v>2.7535672500000001</v>
      </c>
      <c r="O172" s="61">
        <f t="shared" si="57"/>
        <v>2.7535672500000001</v>
      </c>
      <c r="P172" s="61">
        <f t="shared" si="57"/>
        <v>2.7535672500000001</v>
      </c>
      <c r="Q172" s="61">
        <f t="shared" si="57"/>
        <v>0.17772299999999996</v>
      </c>
      <c r="R172" s="61">
        <f t="shared" si="57"/>
        <v>0.17198999999999998</v>
      </c>
      <c r="S172" s="61">
        <f t="shared" si="57"/>
        <v>0.17198999999999998</v>
      </c>
      <c r="T172" s="61">
        <f t="shared" si="57"/>
        <v>1.5819169800000001</v>
      </c>
      <c r="U172" s="61">
        <f t="shared" si="57"/>
        <v>3.0430734599999996</v>
      </c>
      <c r="V172" s="61">
        <f t="shared" si="57"/>
        <v>2.9783375999999997</v>
      </c>
      <c r="W172" s="61">
        <f t="shared" si="57"/>
        <v>2.9798369999999998</v>
      </c>
      <c r="X172" s="61">
        <f t="shared" si="57"/>
        <v>0</v>
      </c>
      <c r="Y172" s="61">
        <f t="shared" si="57"/>
        <v>0</v>
      </c>
      <c r="AA172" s="64">
        <f>SUM(B172:Y172)</f>
        <v>27.93547869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2.0364321600000004</v>
      </c>
      <c r="J175" s="61">
        <f t="shared" si="58"/>
        <v>2.5758442500000003</v>
      </c>
      <c r="K175" s="61">
        <f t="shared" si="58"/>
        <v>2.5758442500000003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1.8030909749999999</v>
      </c>
      <c r="R175" s="61">
        <f t="shared" si="58"/>
        <v>1.696464</v>
      </c>
      <c r="S175" s="61">
        <f t="shared" si="58"/>
        <v>1.696464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5.9240999999999995E-2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1.4217839999999997</v>
      </c>
      <c r="G177" s="61">
        <f t="shared" si="60"/>
        <v>1.4217839999999997</v>
      </c>
      <c r="H177" s="61">
        <f t="shared" si="60"/>
        <v>1.3759199999999998</v>
      </c>
      <c r="I177" s="61">
        <f t="shared" si="60"/>
        <v>1.3759199999999998</v>
      </c>
      <c r="J177" s="61">
        <f t="shared" si="60"/>
        <v>1.4217839999999997</v>
      </c>
      <c r="K177" s="61">
        <f t="shared" si="60"/>
        <v>1.4217839999999997</v>
      </c>
      <c r="L177" s="61">
        <f t="shared" si="60"/>
        <v>1.3759199999999998</v>
      </c>
      <c r="M177" s="61">
        <f t="shared" si="60"/>
        <v>1.3759199999999998</v>
      </c>
      <c r="N177" s="61">
        <f t="shared" si="60"/>
        <v>1.4217839999999997</v>
      </c>
      <c r="O177" s="61">
        <f t="shared" si="60"/>
        <v>1.4217839999999997</v>
      </c>
      <c r="P177" s="61">
        <f t="shared" si="60"/>
        <v>1.4217839999999997</v>
      </c>
      <c r="Q177" s="61">
        <f t="shared" si="60"/>
        <v>1.4217839999999997</v>
      </c>
      <c r="R177" s="61">
        <f t="shared" si="60"/>
        <v>1.3759199999999998</v>
      </c>
      <c r="S177" s="61">
        <f t="shared" si="60"/>
        <v>1.3759199999999998</v>
      </c>
      <c r="T177" s="61">
        <f t="shared" si="60"/>
        <v>1.4217839999999997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1.4217839999999997</v>
      </c>
      <c r="G185" s="61">
        <f>SUM(CdTrp2!G175:G184)</f>
        <v>1.4810249999999998</v>
      </c>
      <c r="H185" s="61">
        <f>SUM(CdTrp2!H175:H184)</f>
        <v>1.3759199999999998</v>
      </c>
      <c r="I185" s="61">
        <f>SUM(CdTrp2!I175:I184)</f>
        <v>3.4123521600000002</v>
      </c>
      <c r="J185" s="61">
        <f>SUM(CdTrp2!J175:J184)</f>
        <v>3.99762825</v>
      </c>
      <c r="K185" s="61">
        <f>SUM(CdTrp2!K175:K184)</f>
        <v>3.99762825</v>
      </c>
      <c r="L185" s="61">
        <f>SUM(CdTrp2!L175:L184)</f>
        <v>1.3759199999999998</v>
      </c>
      <c r="M185" s="61">
        <f>SUM(CdTrp2!M175:M184)</f>
        <v>1.3759199999999998</v>
      </c>
      <c r="N185" s="61">
        <f>SUM(CdTrp2!N175:N184)</f>
        <v>1.4217839999999997</v>
      </c>
      <c r="O185" s="61">
        <f>SUM(CdTrp2!O175:O184)</f>
        <v>1.4217839999999997</v>
      </c>
      <c r="P185" s="61">
        <f>SUM(CdTrp2!P175:P184)</f>
        <v>1.4217839999999997</v>
      </c>
      <c r="Q185" s="61">
        <f>SUM(CdTrp2!Q175:Q184)</f>
        <v>3.2248749749999996</v>
      </c>
      <c r="R185" s="61">
        <f>SUM(CdTrp2!R175:R184)</f>
        <v>3.0723839999999996</v>
      </c>
      <c r="S185" s="61">
        <f>SUM(CdTrp2!S175:S184)</f>
        <v>3.0723839999999996</v>
      </c>
      <c r="T185" s="61">
        <f>SUM(CdTrp2!T175:T184)</f>
        <v>1.4217839999999997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33.494956634999994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>IF(B76&gt;=4,B149,0)</f>
        <v>0</v>
      </c>
      <c r="C201" s="61">
        <f t="shared" ref="C201:Y201" si="79">IF(C76&gt;=4,C149,0)</f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IF(B77&gt;=4,B150,0)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IF(B78&gt;=4,B151,0)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IF(B79&gt;=4,B152,0)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IF(B80&gt;=4,B153,0)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IF(B81&gt;=4,B154,0)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IF(B82&gt;=4,B155,0)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IF(B83&gt;=4,B156,0)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IF(B84&gt;=4,B157,0)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IF(B85&gt;=4,B158,0)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2.7129879000000003</v>
      </c>
      <c r="I215" s="61">
        <f t="shared" si="90"/>
        <v>0.17198999999999998</v>
      </c>
      <c r="J215" s="61">
        <f t="shared" si="90"/>
        <v>0.17772299999999996</v>
      </c>
      <c r="K215" s="61">
        <f t="shared" si="90"/>
        <v>0.17772299999999996</v>
      </c>
      <c r="L215" s="61">
        <f t="shared" si="90"/>
        <v>2.6647425</v>
      </c>
      <c r="M215" s="61">
        <f t="shared" si="90"/>
        <v>2.6647425</v>
      </c>
      <c r="N215" s="61">
        <f t="shared" si="90"/>
        <v>2.7535672500000001</v>
      </c>
      <c r="O215" s="61">
        <f t="shared" si="90"/>
        <v>2.7535672500000001</v>
      </c>
      <c r="P215" s="61">
        <f t="shared" si="90"/>
        <v>2.7535672500000001</v>
      </c>
      <c r="Q215" s="61">
        <f t="shared" si="90"/>
        <v>0.17772299999999996</v>
      </c>
      <c r="R215" s="61">
        <f t="shared" si="90"/>
        <v>0.17198999999999998</v>
      </c>
      <c r="S215" s="61">
        <f t="shared" si="90"/>
        <v>0.17198999999999998</v>
      </c>
      <c r="T215" s="61">
        <f t="shared" si="90"/>
        <v>1.5819169800000001</v>
      </c>
      <c r="U215" s="61">
        <f t="shared" si="90"/>
        <v>3.0430734599999996</v>
      </c>
      <c r="V215" s="61">
        <f t="shared" si="90"/>
        <v>2.9783375999999997</v>
      </c>
      <c r="W215" s="61">
        <f t="shared" si="90"/>
        <v>2.9798369999999998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1.4217839999999997</v>
      </c>
      <c r="G216" s="61">
        <f t="shared" si="91"/>
        <v>1.4810249999999998</v>
      </c>
      <c r="H216" s="61">
        <f t="shared" si="91"/>
        <v>1.3759199999999998</v>
      </c>
      <c r="I216" s="61">
        <f t="shared" si="91"/>
        <v>3.4123521600000002</v>
      </c>
      <c r="J216" s="61">
        <f t="shared" si="91"/>
        <v>3.99762825</v>
      </c>
      <c r="K216" s="61">
        <f t="shared" si="91"/>
        <v>3.99762825</v>
      </c>
      <c r="L216" s="61">
        <f t="shared" si="91"/>
        <v>1.3759199999999998</v>
      </c>
      <c r="M216" s="61">
        <f t="shared" si="91"/>
        <v>1.3759199999999998</v>
      </c>
      <c r="N216" s="61">
        <f t="shared" si="91"/>
        <v>1.4217839999999997</v>
      </c>
      <c r="O216" s="61">
        <f t="shared" si="91"/>
        <v>1.4217839999999997</v>
      </c>
      <c r="P216" s="61">
        <f t="shared" si="91"/>
        <v>1.4217839999999997</v>
      </c>
      <c r="Q216" s="61">
        <f t="shared" si="91"/>
        <v>3.2248749749999996</v>
      </c>
      <c r="R216" s="61">
        <f t="shared" si="91"/>
        <v>3.0723839999999996</v>
      </c>
      <c r="S216" s="61">
        <f t="shared" si="91"/>
        <v>3.0723839999999996</v>
      </c>
      <c r="T216" s="61">
        <f t="shared" si="91"/>
        <v>1.4217839999999997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61.430435324999998</v>
      </c>
      <c r="AB219" t="s">
        <v>222</v>
      </c>
    </row>
    <row r="220" spans="1:28" x14ac:dyDescent="0.25">
      <c r="AA220" s="30">
        <f>SUM(B215:Y217)</f>
        <v>61.430435324999998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VERIF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2023-01-09T11:18:44Z</dcterms:modified>
</cp:coreProperties>
</file>