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3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BG12" i="29" s="1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20" i="29" l="1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T9" i="29"/>
  <c r="S9" i="29"/>
  <c r="R9" i="29"/>
  <c r="Q9" i="29"/>
  <c r="P9" i="29"/>
  <c r="O9" i="29"/>
  <c r="N9" i="29"/>
  <c r="H9" i="29"/>
  <c r="G9" i="29"/>
  <c r="F9" i="29"/>
  <c r="E9" i="29"/>
  <c r="D9" i="29"/>
  <c r="C9" i="29"/>
  <c r="Z8" i="29"/>
  <c r="Y8" i="29"/>
  <c r="T8" i="29"/>
  <c r="S8" i="29"/>
  <c r="R8" i="29"/>
  <c r="Q8" i="29"/>
  <c r="P8" i="29"/>
  <c r="O8" i="29"/>
  <c r="N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BJ28" i="30" s="1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N28" i="30"/>
  <c r="BM28" i="30"/>
  <c r="BL28" i="30"/>
  <c r="BE28" i="30"/>
  <c r="BD28" i="30"/>
  <c r="BB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Y27" i="30" l="1"/>
  <c r="BF27" i="30"/>
  <c r="AW28" i="30"/>
  <c r="BF28" i="30"/>
  <c r="BO28" i="30"/>
  <c r="BH29" i="30"/>
  <c r="BG27" i="30"/>
  <c r="AX28" i="30"/>
  <c r="BG28" i="30"/>
  <c r="BP28" i="30"/>
  <c r="BL27" i="30"/>
  <c r="AY28" i="30"/>
  <c r="BH28" i="30"/>
  <c r="BH73" i="30" s="1"/>
  <c r="BQ28" i="30"/>
  <c r="BD27" i="30"/>
  <c r="BN27" i="30"/>
  <c r="AZ28" i="30"/>
  <c r="BI28" i="30"/>
  <c r="BR28" i="30"/>
  <c r="AV27" i="30"/>
  <c r="BA28" i="30"/>
  <c r="BA73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K113" i="31" s="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AC167" i="31" s="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AA186" i="28" s="1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AF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AB188" i="28" s="1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AB199" i="28" s="1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AB198" i="31" s="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AC194" i="28" s="1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S4" i="29"/>
  <c r="S20" i="29"/>
  <c r="AC171" i="28"/>
  <c r="AB171" i="28"/>
  <c r="AA171" i="28"/>
  <c r="AB171" i="31"/>
  <c r="AA171" i="31"/>
  <c r="AC171" i="31"/>
  <c r="AA168" i="31"/>
  <c r="V165" i="31"/>
  <c r="AC189" i="31"/>
  <c r="AB189" i="31"/>
  <c r="AA166" i="28"/>
  <c r="K110" i="31"/>
  <c r="W186" i="31"/>
  <c r="AA187" i="28"/>
  <c r="AA18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BR74" i="30" s="1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AZ63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8" i="29" s="1"/>
  <c r="C33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C201" i="29" s="1"/>
  <c r="S25" i="29"/>
  <c r="F5" i="29"/>
  <c r="F20" i="29"/>
  <c r="F21" i="29" s="1"/>
  <c r="F7" i="29" s="1"/>
  <c r="F12" i="29" s="1"/>
  <c r="F4" i="29"/>
  <c r="F3" i="29"/>
  <c r="N5" i="29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BR108" i="30" s="1"/>
  <c r="DI73" i="30"/>
  <c r="DQ73" i="30"/>
  <c r="DY73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T14" i="7"/>
  <c r="T13" i="7"/>
  <c r="T12" i="7"/>
  <c r="T11" i="7"/>
  <c r="CR108" i="30" l="1"/>
  <c r="CK107" i="30"/>
  <c r="CJ108" i="30"/>
  <c r="CM107" i="30"/>
  <c r="CP107" i="30"/>
  <c r="CS106" i="30"/>
  <c r="CQ106" i="30"/>
  <c r="CV106" i="30"/>
  <c r="AV107" i="30"/>
  <c r="BD109" i="30"/>
  <c r="BJ108" i="30"/>
  <c r="BQ109" i="30"/>
  <c r="BN106" i="30"/>
  <c r="CV108" i="30"/>
  <c r="CT108" i="30"/>
  <c r="CT107" i="30"/>
  <c r="CH107" i="30"/>
  <c r="BC109" i="30"/>
  <c r="BI106" i="30"/>
  <c r="BN108" i="30"/>
  <c r="BB108" i="30"/>
  <c r="BM106" i="30"/>
  <c r="CF108" i="30"/>
  <c r="CL108" i="30"/>
  <c r="CQ108" i="30"/>
  <c r="CL107" i="30"/>
  <c r="CR107" i="30"/>
  <c r="CW107" i="30"/>
  <c r="CP106" i="30"/>
  <c r="BB106" i="30"/>
  <c r="AZ109" i="30"/>
  <c r="BA109" i="30"/>
  <c r="BA108" i="30"/>
  <c r="BH106" i="30"/>
  <c r="BH108" i="30"/>
  <c r="BF106" i="30"/>
  <c r="CU108" i="30"/>
  <c r="CI108" i="30"/>
  <c r="CO107" i="30"/>
  <c r="CU106" i="30"/>
  <c r="AY107" i="30"/>
  <c r="BA106" i="30"/>
  <c r="BF108" i="30"/>
  <c r="BL106" i="30"/>
  <c r="BM108" i="30"/>
  <c r="BL108" i="30"/>
  <c r="BJ106" i="30"/>
  <c r="BE106" i="30"/>
  <c r="CM108" i="30"/>
  <c r="CS108" i="30"/>
  <c r="CU107" i="30"/>
  <c r="CG107" i="30"/>
  <c r="CH106" i="30"/>
  <c r="CM106" i="30"/>
  <c r="BB109" i="30"/>
  <c r="AZ106" i="30"/>
  <c r="BD107" i="30"/>
  <c r="CQ107" i="30"/>
  <c r="CR106" i="30"/>
  <c r="CW106" i="30"/>
  <c r="CE108" i="30"/>
  <c r="BB107" i="30"/>
  <c r="BG108" i="30"/>
  <c r="BI108" i="30"/>
  <c r="BD106" i="30"/>
  <c r="BE108" i="30"/>
  <c r="BD108" i="30"/>
  <c r="AX107" i="30"/>
  <c r="CW108" i="30"/>
  <c r="CH108" i="30"/>
  <c r="CS107" i="30"/>
  <c r="CN107" i="30"/>
  <c r="CT106" i="30"/>
  <c r="CJ106" i="30"/>
  <c r="CO106" i="30"/>
  <c r="AB25" i="28"/>
  <c r="Z25" i="28"/>
  <c r="C191" i="33"/>
  <c r="BR63" i="30"/>
  <c r="BR109" i="30" s="1"/>
  <c r="AZ74" i="30"/>
  <c r="AC25" i="28"/>
  <c r="AC34" i="28" s="1"/>
  <c r="K39" i="28" s="1"/>
  <c r="C96" i="33" s="1"/>
  <c r="W25" i="28"/>
  <c r="W34" i="28" s="1"/>
  <c r="K34" i="28" s="1"/>
  <c r="C90" i="33" s="1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BB83" i="30" s="1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B81" i="30" l="1"/>
  <c r="B52" i="30"/>
  <c r="C52" i="30" s="1"/>
  <c r="F52" i="30" s="1"/>
  <c r="C264" i="33" s="1"/>
  <c r="AI170" i="28"/>
  <c r="AI170" i="31"/>
  <c r="CS84" i="30"/>
  <c r="CR82" i="30"/>
  <c r="BB84" i="30"/>
  <c r="BD82" i="30"/>
  <c r="BD85" i="30" s="1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BC86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T245" i="31"/>
  <c r="B81" i="30"/>
  <c r="F81" i="30" s="1"/>
  <c r="B114" i="30" s="1"/>
  <c r="F76" i="30"/>
  <c r="F75" i="30"/>
  <c r="F77" i="30"/>
  <c r="B129" i="30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J141" i="31" l="1"/>
  <c r="C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BB78" i="33"/>
  <c r="BB154" i="33"/>
  <c r="AZ76" i="33"/>
  <c r="AZ152" i="33"/>
  <c r="AV78" i="33"/>
  <c r="AV154" i="33"/>
  <c r="AV76" i="33"/>
  <c r="AV152" i="33"/>
  <c r="AY76" i="33"/>
  <c r="AY152" i="33"/>
  <c r="BP78" i="33"/>
  <c r="BP154" i="33"/>
  <c r="BS76" i="33"/>
  <c r="BS152" i="33"/>
  <c r="AX78" i="33"/>
  <c r="AX154" i="33"/>
  <c r="BR78" i="33"/>
  <c r="BR154" i="33"/>
  <c r="AW78" i="33"/>
  <c r="AW154" i="33"/>
  <c r="AY78" i="33"/>
  <c r="AY154" i="33"/>
  <c r="BB76" i="33"/>
  <c r="BB152" i="33"/>
  <c r="BA78" i="33"/>
  <c r="BA154" i="33"/>
  <c r="BP76" i="33"/>
  <c r="BP152" i="33"/>
  <c r="BO78" i="33"/>
  <c r="BO154" i="33"/>
  <c r="BA76" i="33"/>
  <c r="BA152" i="33"/>
  <c r="BC78" i="33"/>
  <c r="BC154" i="33"/>
  <c r="BD76" i="33"/>
  <c r="BD152" i="33"/>
  <c r="BQ78" i="33"/>
  <c r="BQ154" i="33"/>
  <c r="BC76" i="33"/>
  <c r="BC152" i="33"/>
  <c r="AX76" i="33"/>
  <c r="AX152" i="33"/>
  <c r="AZ78" i="33"/>
  <c r="AZ154" i="33"/>
  <c r="BQ76" i="33"/>
  <c r="BQ152" i="33"/>
  <c r="BO76" i="33"/>
  <c r="BO152" i="33"/>
  <c r="AW76" i="33"/>
  <c r="AW152" i="33"/>
  <c r="BD78" i="33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O160" i="33" l="1"/>
  <c r="BO161" i="33" s="1"/>
  <c r="BO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B83" i="30"/>
  <c r="AK26" i="29"/>
  <c r="C184" i="33" s="1"/>
  <c r="D184" i="33" s="1"/>
  <c r="T234" i="31"/>
  <c r="T272" i="31" s="1"/>
  <c r="X272" i="31" s="1"/>
  <c r="J142" i="31" s="1"/>
  <c r="C220" i="33" s="1"/>
  <c r="F84" i="30"/>
  <c r="F83" i="30"/>
  <c r="B167" i="31" s="1"/>
  <c r="J167" i="31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235" i="33" l="1"/>
  <c r="C236" i="33" s="1"/>
  <c r="J170" i="31"/>
  <c r="C185" i="33"/>
  <c r="D185" i="33" s="1"/>
  <c r="D183" i="33" s="1"/>
  <c r="X234" i="3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<sst xmlns="http://schemas.openxmlformats.org/spreadsheetml/2006/main" count="3128" uniqueCount="1467">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</sst>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61.760000000000005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61.760000000000005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61.760000000000005</v>
      </c>
      <c r="G9" s="81"/>
      <c r="H9" s="61">
        <f>SUM(L34:L43)</f>
        <v>9</v>
      </c>
      <c r="I9" s="81"/>
      <c r="J9" s="81"/>
      <c r="K9" s="93">
        <f>H9-F9</f>
        <v>-52.760000000000005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3" zoomScale="80" zoomScaleNormal="80" workbookViewId="0">
      <selection activeCell="I63" sqref="A63:XFD6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1" sqref="A11:XFD1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8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2</v>
      </c>
      <c r="O20" s="173">
        <f t="shared" si="21"/>
        <v>2</v>
      </c>
      <c r="P20" s="173">
        <f t="shared" si="21"/>
        <v>2</v>
      </c>
      <c r="Q20" s="173">
        <f t="shared" si="21"/>
        <v>2</v>
      </c>
      <c r="R20" s="173">
        <f t="shared" si="21"/>
        <v>2</v>
      </c>
      <c r="S20" s="173">
        <f t="shared" si="21"/>
        <v>2</v>
      </c>
      <c r="T20" s="173">
        <f t="shared" si="21"/>
        <v>2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5</v>
      </c>
      <c r="O69" s="173">
        <f>IF($AA69=0,99,IF(O82&gt;3,CdTrp1!N77,CdTrp1!N53))</f>
        <v>5</v>
      </c>
      <c r="P69" s="173">
        <f>IF($AA69=0,99,IF(P82&gt;3,CdTrp1!O77,CdTrp1!O53))</f>
        <v>5</v>
      </c>
      <c r="Q69" s="173">
        <f>IF($AA69=0,99,IF(Q82&gt;3,CdTrp1!P77,CdTrp1!P53))</f>
        <v>5</v>
      </c>
      <c r="R69" s="173">
        <f>IF($AA69=0,99,IF(R82&gt;3,CdTrp1!Q77,CdTrp1!Q53))</f>
        <v>5</v>
      </c>
      <c r="S69" s="173">
        <f>IF($AA69=0,99,IF(S82&gt;3,CdTrp1!R77,CdTrp1!R53))</f>
        <v>5</v>
      </c>
      <c r="T69" s="173">
        <f>IF($AA69=0,99,IF(T82&gt;3,CdTrp1!S77,CdTrp1!S53))</f>
        <v>5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5</v>
      </c>
      <c r="O82" s="173">
        <f>CdTrp1!N77</f>
        <v>5</v>
      </c>
      <c r="P82" s="173">
        <f>CdTrp1!O77</f>
        <v>5</v>
      </c>
      <c r="Q82" s="173">
        <f>CdTrp1!P77</f>
        <v>5</v>
      </c>
      <c r="R82" s="173">
        <f>CdTrp1!Q77</f>
        <v>5</v>
      </c>
      <c r="S82" s="173">
        <f>CdTrp1!R77</f>
        <v>5</v>
      </c>
      <c r="T82" s="173">
        <f>CdTrp1!S77</f>
        <v>5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914.10123913043526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33.91804347826087</v>
      </c>
      <c r="M9" s="30">
        <f t="shared" si="4"/>
        <v>33.863717391304348</v>
      </c>
      <c r="N9" s="30">
        <f t="shared" si="4"/>
        <v>33.809391304347827</v>
      </c>
      <c r="O9" s="30">
        <f t="shared" si="4"/>
        <v>33.700739130434783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32.070956521739127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2604.6012391304339</v>
      </c>
      <c r="G13" s="30">
        <f>SUM(G5:G11)</f>
        <v>139.29832608695654</v>
      </c>
      <c r="H13" s="30">
        <f t="shared" ref="H13:AD13" si="8">SUM(H5:H11)</f>
        <v>139.18967391304346</v>
      </c>
      <c r="I13" s="30">
        <f t="shared" si="8"/>
        <v>144.33102173913045</v>
      </c>
      <c r="J13" s="30">
        <f t="shared" si="8"/>
        <v>158.27669565217391</v>
      </c>
      <c r="K13" s="30">
        <f t="shared" si="8"/>
        <v>158.22236956521738</v>
      </c>
      <c r="L13" s="30">
        <f t="shared" si="8"/>
        <v>156.41804347826087</v>
      </c>
      <c r="M13" s="30">
        <f t="shared" si="8"/>
        <v>144.11371739130436</v>
      </c>
      <c r="N13" s="30">
        <f t="shared" si="8"/>
        <v>147.55939130434783</v>
      </c>
      <c r="O13" s="30">
        <f t="shared" si="8"/>
        <v>140.45073913043478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140.57095652173913</v>
      </c>
      <c r="AB13" s="30">
        <f t="shared" si="8"/>
        <v>142.79832608695654</v>
      </c>
      <c r="AC13" s="30">
        <f t="shared" si="8"/>
        <v>139.29832608695654</v>
      </c>
      <c r="AD13" s="30">
        <f t="shared" si="8"/>
        <v>139.29832608695654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295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403.5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18.5</v>
      </c>
      <c r="Q77" s="46">
        <f t="shared" si="43"/>
        <v>18.5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18.5</v>
      </c>
      <c r="Z77" s="46">
        <f t="shared" si="43"/>
        <v>23.5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1.1399999999999999</v>
      </c>
      <c r="C81" s="190">
        <f>[1]Protect!$B$10</f>
        <v>4</v>
      </c>
      <c r="D81" s="172"/>
      <c r="E81" s="172"/>
      <c r="F81" s="173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1831.1012391304353</v>
      </c>
      <c r="C91" s="5"/>
      <c r="D91" s="202">
        <f>B91/Troupeau!$B$17</f>
        <v>5.1291351236146649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2496.8012391304355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2.1960784313725492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880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33.91804347826087</v>
      </c>
      <c r="BB102" s="62">
        <f t="shared" si="77"/>
        <v>33.863717391304348</v>
      </c>
      <c r="BC102" s="62">
        <f t="shared" si="77"/>
        <v>33.809391304347827</v>
      </c>
      <c r="BD102" s="62">
        <f t="shared" si="77"/>
        <v>33.700739130434783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32.070956521739127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295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295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4210.8245724637691</v>
      </c>
      <c r="D118" s="202">
        <f>B118/Troupeau!$B$17</f>
        <v>11.795026813624004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863.7</v>
      </c>
      <c r="D119" s="202">
        <f>IF(B119=0,0,B119/Troupeau!$C$17)</f>
        <v>41.128571428571433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5074.5245724637689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319.5</v>
      </c>
    </row>
    <row r="126" spans="1:132" x14ac:dyDescent="0.25">
      <c r="A126" s="2" t="s">
        <v>872</v>
      </c>
      <c r="B126" s="30">
        <f>B114+B115+B116</f>
        <v>885.3</v>
      </c>
    </row>
    <row r="128" spans="1:132" x14ac:dyDescent="0.25">
      <c r="A128" s="2" t="s">
        <v>873</v>
      </c>
      <c r="B128" s="201">
        <f>SUM(B122:B126)</f>
        <v>7293.3245724637691</v>
      </c>
    </row>
    <row r="129" spans="1:2" x14ac:dyDescent="0.25">
      <c r="A129" s="2" t="s">
        <v>874</v>
      </c>
      <c r="B129" s="30">
        <f>IF(Scénario!K129=1,Travail!F77+Travail!F86,F86)</f>
        <v>1243.5</v>
      </c>
    </row>
    <row r="130" spans="1:2" x14ac:dyDescent="0.25">
      <c r="A130" s="2" t="s">
        <v>875</v>
      </c>
      <c r="B130" s="201">
        <f>ROUND((B128-B129)/(Scénario!K4+Scénario!K6),0)</f>
        <v>4033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139421.02000000002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52.760000000000005</v>
      </c>
      <c r="C119" s="190">
        <f>[1]Eco!$B$79</f>
        <v>80</v>
      </c>
      <c r="J119" s="173">
        <f>B119*C119</f>
        <v>4220.8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7234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62535.643320000003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424.3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4510.3090000000002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49147.008999999998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27738.367680000018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18492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4417.0213715714708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10321.346308428547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6881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51326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35826</v>
      </c>
      <c r="AB237" s="30">
        <f>(Scénario!K127/100)*AA237</f>
        <v>0</v>
      </c>
      <c r="AC237" s="30">
        <f>AA237-AB237</f>
        <v>35826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4417.0213715714708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8</v>
      </c>
      <c r="X245" s="173">
        <f>ROUND((([1]Protect!$B$5/[1]Protect!$B$11)+[1]Protect!$B$8)*T245,0)</f>
        <v>7234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18936.600000000002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18937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280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Z3_OLBV_T3_SC1s1</v>
      </c>
      <c r="D1" s="275" t="str">
        <f>CONCATENATE(C1,"_corr")</f>
        <v>Z3_OLBV_T3_SC1s1_corr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7</v>
      </c>
      <c r="D122" s="173">
        <f t="shared" si="25"/>
        <v>7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33.159351574212891</v>
      </c>
      <c r="BB163" s="62">
        <f t="shared" si="92"/>
        <v>33.107835457271364</v>
      </c>
      <c r="BC163" s="62">
        <f t="shared" si="92"/>
        <v>33.056319340329836</v>
      </c>
      <c r="BD163" s="62">
        <f t="shared" si="92"/>
        <v>32.95328710644678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31.4078035982009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8</v>
      </c>
      <c r="D189" s="173">
        <f t="shared" si="101"/>
        <v>8</v>
      </c>
      <c r="AH189" s="15"/>
      <c r="AJ189" s="14" t="s">
        <v>1114</v>
      </c>
      <c r="AK189" s="30">
        <f>D189</f>
        <v>8</v>
      </c>
      <c r="AO189" s="173">
        <f>ROUND((([1]Protect!$B$5/[1]Protect!$B$11)+[1]Protect!$B$8)*AK189,0)</f>
        <v>7234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36.9</v>
      </c>
      <c r="D191" s="173">
        <f>C191</f>
        <v>36.9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18936.600000000002</v>
      </c>
    </row>
    <row r="193" spans="1:43" x14ac:dyDescent="0.25">
      <c r="B193" s="14" t="s">
        <v>1309</v>
      </c>
      <c r="C193" s="173">
        <f>(Travail!F75+Travail!F76+Travail!F81)/8</f>
        <v>18.0625</v>
      </c>
      <c r="D193" s="173">
        <f>C193</f>
        <v>18.0625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265.51724137931035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65182.1</v>
      </c>
      <c r="D211" s="264">
        <f>ROUND(SUM(D201:D210),0)</f>
        <v>60886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10510.033319999995</v>
      </c>
      <c r="D218" s="261">
        <f t="shared" si="106"/>
        <v>9966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7234</v>
      </c>
      <c r="D219" s="261">
        <f t="shared" si="106"/>
        <v>6860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939.89</v>
      </c>
      <c r="D220" s="264">
        <f>SUM(AN215:AN219)</f>
        <v>901.28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62536</v>
      </c>
      <c r="D221" s="264">
        <f>ROUND(SUM(D216:D220),0)</f>
        <v>59311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48752</v>
      </c>
      <c r="AQ228" s="30">
        <f>IF(Scénario!K84=1,MIN(0.8*AO228,[1]Protect!$B$68),IF(Scénario!K84=2,MIN(0.8*AO228,[1]Protect!$B$67),0))</f>
        <v>15500</v>
      </c>
      <c r="AR228" s="30">
        <f>AO228-AQ228</f>
        <v>33252</v>
      </c>
      <c r="AS228" s="30">
        <f>(1-Scénario!K127/100)*AR228</f>
        <v>33252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4510.3090000000002</v>
      </c>
      <c r="D235" s="264">
        <f>(D191+D192)*8*[1]Eco!$B$106</f>
        <v>3231.5200000000004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49147</v>
      </c>
      <c r="D236" s="264">
        <f>ROUND(SUM(D222:D235),0)</f>
        <v>46339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27738.100000000006</v>
      </c>
      <c r="D237" s="264">
        <f>D194+D211-D221-D236</f>
        <v>25635</v>
      </c>
    </row>
    <row r="238" spans="1:49" x14ac:dyDescent="0.25">
      <c r="B238" s="211" t="s">
        <v>1090</v>
      </c>
      <c r="C238" s="173">
        <f>ROUND(C237/Scénario!$K$4,0)</f>
        <v>18492</v>
      </c>
      <c r="D238" s="264">
        <f>ROUND(D237/D83,0)</f>
        <v>12818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4417.0213715714708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10321</v>
      </c>
      <c r="D241" s="268">
        <f>ROUND(D237-D239-D240,0)</f>
        <v>12635</v>
      </c>
    </row>
    <row r="242" spans="1:15" x14ac:dyDescent="0.25">
      <c r="B242" s="211" t="s">
        <v>1094</v>
      </c>
      <c r="C242" s="173">
        <f>ROUND(C241/Scénario!K4,0)</f>
        <v>6881</v>
      </c>
      <c r="D242" s="264">
        <f>ROUND(D241/D83,0)</f>
        <v>6318</v>
      </c>
    </row>
    <row r="243" spans="1:15" x14ac:dyDescent="0.25">
      <c r="B243" s="211" t="s">
        <v>1357</v>
      </c>
      <c r="C243" s="173">
        <f>'Calcul éco'!X237+'Calcul éco'!X240</f>
        <v>51326</v>
      </c>
      <c r="D243" s="173">
        <f>C243</f>
        <v>51326</v>
      </c>
    </row>
    <row r="244" spans="1:15" x14ac:dyDescent="0.25">
      <c r="B244" s="211" t="s">
        <v>1358</v>
      </c>
      <c r="C244" s="173">
        <f>'Calcul éco'!AA237+'Calcul éco'!AA240</f>
        <v>35826</v>
      </c>
      <c r="D244" s="173">
        <f>C244</f>
        <v>35826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914.10123913043526</v>
      </c>
      <c r="D248" s="264">
        <f>ROUND(SUM(AV163:BS163),1)</f>
        <v>900.5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295.2</v>
      </c>
      <c r="D275" s="173">
        <f>C275</f>
        <v>295.2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120</v>
      </c>
      <c r="D277" s="173">
        <f>C277</f>
        <v>120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4210</v>
      </c>
      <c r="D281" s="264">
        <f>ROUND(D245+D248+D251+D254+D257+D260+D261,0)</f>
        <v>4126</v>
      </c>
    </row>
    <row r="282" spans="1:4" x14ac:dyDescent="0.25">
      <c r="B282" s="14" t="s">
        <v>1372</v>
      </c>
      <c r="C282" s="173">
        <f>ROUND(C246+C249+C252+C255+C258,0)</f>
        <v>864</v>
      </c>
      <c r="D282" s="264">
        <f>ROUND(D246+D249+D252+D255+D258,0)</f>
        <v>859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11.79</v>
      </c>
      <c r="D284" s="173">
        <f>ROUND(D281/(Troupeau!$B$17*G63),2)</f>
        <v>12.19</v>
      </c>
    </row>
    <row r="285" spans="1:4" x14ac:dyDescent="0.25">
      <c r="B285" s="14" t="s">
        <v>1375</v>
      </c>
      <c r="C285" s="173">
        <f>IF(Troupeau!$C$17=0,0,ROUND(C282/Troupeau!$C$17,2))</f>
        <v>41.14</v>
      </c>
      <c r="D285" s="173">
        <f>IF(Troupeau!$C$17=0,0,ROUND(D282/Troupeau!$C$17*G63,2))</f>
        <v>38.79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5074</v>
      </c>
      <c r="D287" s="264">
        <f>SUM(D281:D283)</f>
        <v>4985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424.5</v>
      </c>
      <c r="D290" s="277">
        <f>D275+D276+D277</f>
        <v>424</v>
      </c>
    </row>
    <row r="291" spans="2:4" x14ac:dyDescent="0.25">
      <c r="B291" s="14" t="s">
        <v>1421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7377</v>
      </c>
      <c r="D292" s="264">
        <f>ROUND(SUM(D287:D291),0)</f>
        <v>7273</v>
      </c>
    </row>
    <row r="293" spans="2:4" x14ac:dyDescent="0.25">
      <c r="B293" s="14" t="s">
        <v>874</v>
      </c>
      <c r="C293" s="173">
        <f>ROUND(IF(Scénario!$K$129=1,SUM(C275:C280),SUM(C278:C280)),0)</f>
        <v>1289</v>
      </c>
      <c r="D293" s="173">
        <f>ROUND(IF(Scénario!$K$129=1,SUM(D275:D280),SUM(D278:D280)),0)</f>
        <v>1289</v>
      </c>
    </row>
    <row r="294" spans="2:4" x14ac:dyDescent="0.25">
      <c r="B294" s="14" t="s">
        <v>875</v>
      </c>
      <c r="C294" s="173">
        <f>ROUND((C292-C293)/C83,0)</f>
        <v>4059</v>
      </c>
      <c r="D294" s="173">
        <f>ROUND((D292-D293)/D83,0)</f>
        <v>2992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2000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3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46.06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10.104652173913045</v>
      </c>
      <c r="C66" s="61">
        <f t="shared" si="21"/>
        <v>10.104652173913045</v>
      </c>
      <c r="D66" s="61">
        <f t="shared" si="21"/>
        <v>9.1267826086956525</v>
      </c>
      <c r="E66" s="61">
        <f t="shared" si="21"/>
        <v>9.1267826086956525</v>
      </c>
      <c r="F66" s="61">
        <f t="shared" si="21"/>
        <v>10.104652173913045</v>
      </c>
      <c r="G66" s="61">
        <f t="shared" si="21"/>
        <v>10.104652173913045</v>
      </c>
      <c r="H66" s="61">
        <f t="shared" si="21"/>
        <v>9.7786956521739139</v>
      </c>
      <c r="I66" s="61">
        <f t="shared" si="21"/>
        <v>9.7786956521739139</v>
      </c>
      <c r="J66" s="61">
        <f t="shared" si="21"/>
        <v>10.104652173913045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10.104652173913045</v>
      </c>
      <c r="V66" s="61">
        <f t="shared" si="21"/>
        <v>9.7786956521739139</v>
      </c>
      <c r="W66" s="61">
        <f t="shared" si="21"/>
        <v>9.7786956521739139</v>
      </c>
      <c r="X66" s="61">
        <f t="shared" si="21"/>
        <v>10.104652173913045</v>
      </c>
      <c r="Y66" s="61">
        <f t="shared" si="21"/>
        <v>10.104652173913045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751</v>
      </c>
      <c r="C73" s="64">
        <f t="shared" ref="C73:Y73" si="28">ROUND(SUM(C63:C72),0)</f>
        <v>744</v>
      </c>
      <c r="D73" s="64">
        <f t="shared" si="28"/>
        <v>666</v>
      </c>
      <c r="E73" s="64">
        <f t="shared" si="28"/>
        <v>366</v>
      </c>
      <c r="F73" s="64">
        <f t="shared" si="28"/>
        <v>404</v>
      </c>
      <c r="G73" s="64">
        <f t="shared" si="28"/>
        <v>385</v>
      </c>
      <c r="H73" s="64">
        <f t="shared" si="28"/>
        <v>371</v>
      </c>
      <c r="I73" s="64">
        <f t="shared" si="28"/>
        <v>369</v>
      </c>
      <c r="J73" s="64">
        <f t="shared" si="28"/>
        <v>404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397</v>
      </c>
      <c r="V73" s="64">
        <f t="shared" si="28"/>
        <v>729</v>
      </c>
      <c r="W73" s="64">
        <f t="shared" si="28"/>
        <v>727</v>
      </c>
      <c r="X73" s="64">
        <f t="shared" si="28"/>
        <v>751</v>
      </c>
      <c r="Y73" s="64">
        <f t="shared" si="28"/>
        <v>751</v>
      </c>
      <c r="Z73" s="52"/>
      <c r="AA73" s="56">
        <f>ROUND(SUM(B73:Y73),0)</f>
        <v>9212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2023-01-09T10:30:15Z</dcterms:modified>
</cp:coreProperties>
</file>