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5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T9" i="29"/>
  <c r="S9" i="29"/>
  <c r="R9" i="29"/>
  <c r="Q9" i="29"/>
  <c r="P9" i="29"/>
  <c r="O9" i="29"/>
  <c r="N9" i="29"/>
  <c r="H9" i="29"/>
  <c r="G9" i="29"/>
  <c r="F9" i="29"/>
  <c r="E9" i="29"/>
  <c r="D9" i="29"/>
  <c r="C9" i="29"/>
  <c r="Z8" i="29"/>
  <c r="Y8" i="29"/>
  <c r="T8" i="29"/>
  <c r="S8" i="29"/>
  <c r="R8" i="29"/>
  <c r="Q8" i="29"/>
  <c r="P8" i="29"/>
  <c r="O8" i="29"/>
  <c r="N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F77" i="30"/>
  <c r="F75" i="30"/>
  <c r="D278" i="33" l="1"/>
  <c r="D256" i="33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F145" i="31" l="1"/>
  <c r="AF139" i="31"/>
  <c r="AF133" i="31"/>
  <c r="AF127" i="31"/>
  <c r="AF142" i="31"/>
  <c r="AF136" i="31"/>
  <c r="AF130" i="31"/>
  <c r="U136" i="31"/>
  <c r="L114" i="31" s="1"/>
  <c r="U134" i="31"/>
  <c r="U135" i="31"/>
  <c r="K113" i="31" s="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AF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A171" i="28"/>
  <c r="AB171" i="31"/>
  <c r="AA171" i="31"/>
  <c r="AC171" i="31"/>
  <c r="AA168" i="31"/>
  <c r="V165" i="31"/>
  <c r="AB189" i="31"/>
  <c r="AA166" i="28"/>
  <c r="K110" i="31"/>
  <c r="AA186" i="28"/>
  <c r="W186" i="31"/>
  <c r="AA187" i="28"/>
  <c r="AC187" i="31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C201" i="29" s="1"/>
  <c r="S25" i="29"/>
  <c r="F5" i="29"/>
  <c r="F20" i="29"/>
  <c r="F21" i="29" s="1"/>
  <c r="F7" i="29" s="1"/>
  <c r="F12" i="29" s="1"/>
  <c r="F4" i="29"/>
  <c r="F3" i="29"/>
  <c r="N5" i="29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AF173" i="31" l="1"/>
  <c r="BC107" i="30"/>
  <c r="CW108" i="30"/>
  <c r="CH108" i="30"/>
  <c r="CS107" i="30"/>
  <c r="CN107" i="30"/>
  <c r="CT106" i="30"/>
  <c r="CJ106" i="30"/>
  <c r="CO106" i="30"/>
  <c r="BB107" i="30"/>
  <c r="BG108" i="30"/>
  <c r="BI108" i="30"/>
  <c r="AZ109" i="30"/>
  <c r="CR108" i="30"/>
  <c r="CK107" i="30"/>
  <c r="AY107" i="30"/>
  <c r="BD109" i="30"/>
  <c r="BB109" i="30"/>
  <c r="BH106" i="30"/>
  <c r="BH108" i="30"/>
  <c r="BM106" i="30"/>
  <c r="CV108" i="30"/>
  <c r="CT108" i="30"/>
  <c r="CT107" i="30"/>
  <c r="CH107" i="30"/>
  <c r="BE108" i="30"/>
  <c r="CJ108" i="30"/>
  <c r="CQ106" i="30"/>
  <c r="BQ109" i="30"/>
  <c r="BD108" i="30"/>
  <c r="AX107" i="30"/>
  <c r="BF106" i="30"/>
  <c r="BF117" i="30" s="1"/>
  <c r="Q5" i="30" s="1"/>
  <c r="CF108" i="30"/>
  <c r="CL108" i="30"/>
  <c r="CQ108" i="30"/>
  <c r="CL107" i="30"/>
  <c r="CR107" i="30"/>
  <c r="CW107" i="30"/>
  <c r="CP106" i="30"/>
  <c r="BB106" i="30"/>
  <c r="CP107" i="30"/>
  <c r="BC109" i="30"/>
  <c r="BP109" i="30"/>
  <c r="AZ106" i="30"/>
  <c r="BD107" i="30"/>
  <c r="BE106" i="30"/>
  <c r="CU108" i="30"/>
  <c r="CI108" i="30"/>
  <c r="CO107" i="30"/>
  <c r="CU106" i="30"/>
  <c r="BD106" i="30"/>
  <c r="BL108" i="30"/>
  <c r="BB108" i="30"/>
  <c r="CV106" i="30"/>
  <c r="BA109" i="30"/>
  <c r="BA108" i="30"/>
  <c r="BI106" i="30"/>
  <c r="BN108" i="30"/>
  <c r="CM108" i="30"/>
  <c r="CS108" i="30"/>
  <c r="CU107" i="30"/>
  <c r="CG107" i="30"/>
  <c r="CH106" i="30"/>
  <c r="CM106" i="30"/>
  <c r="CE108" i="30"/>
  <c r="BJ106" i="30"/>
  <c r="BN106" i="30"/>
  <c r="CM107" i="30"/>
  <c r="CS106" i="30"/>
  <c r="BA106" i="30"/>
  <c r="BR109" i="30"/>
  <c r="AV107" i="30"/>
  <c r="CQ107" i="30"/>
  <c r="CR106" i="30"/>
  <c r="CW106" i="30"/>
  <c r="AC25" i="28"/>
  <c r="AC34" i="28" s="1"/>
  <c r="K39" i="28" s="1"/>
  <c r="C96" i="33" s="1"/>
  <c r="W25" i="28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BB81" i="30" s="1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6" i="33" l="1"/>
  <c r="AO226" i="33" s="1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277" i="33"/>
  <c r="C193" i="33"/>
  <c r="CF153" i="33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B114" i="30"/>
  <c r="CD152" i="33"/>
  <c r="CG153" i="33"/>
  <c r="CE153" i="33"/>
  <c r="CF152" i="33"/>
  <c r="CX152" i="33"/>
  <c r="J141" i="31"/>
  <c r="C219" i="33" s="1"/>
  <c r="X248" i="31"/>
  <c r="D277" i="33" l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D193" i="33"/>
  <c r="B113" i="30"/>
  <c r="B125" i="30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BA78" i="33" s="1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BR78" i="33" s="1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AX78" i="33" s="1"/>
  <c r="CD64" i="33"/>
  <c r="DM71" i="33"/>
  <c r="DM82" i="33" s="1"/>
  <c r="BD70" i="33"/>
  <c r="BD81" i="33" s="1"/>
  <c r="DS67" i="33"/>
  <c r="DS78" i="33" s="1"/>
  <c r="BQ67" i="33"/>
  <c r="BQ78" i="33" s="1"/>
  <c r="BO67" i="33"/>
  <c r="BO78" i="33" s="1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BB78" i="33" s="1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S78" i="33" s="1"/>
  <c r="BR73" i="33"/>
  <c r="BR85" i="33" s="1"/>
  <c r="DX68" i="33"/>
  <c r="DX79" i="33" s="1"/>
  <c r="BQ70" i="33"/>
  <c r="BQ81" i="33" s="1"/>
  <c r="CK68" i="33"/>
  <c r="CK79" i="33" s="1"/>
  <c r="BP67" i="33"/>
  <c r="BP78" i="33" s="1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BD78" i="33" s="1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AZ78" i="33" s="1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Y78" i="33" s="1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AW78" i="33" s="1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BC78" i="33" s="1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AV78" i="33" s="1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3" l="1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5" i="33" l="1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76" i="33" l="1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AV9" i="23"/>
  <c r="AW9" i="23"/>
  <c r="BO9" i="23"/>
  <c r="AT9" i="23"/>
  <c r="D244" i="33"/>
  <c r="BR31" i="23"/>
  <c r="H83" i="23" s="1"/>
  <c r="H85" i="23" s="1"/>
  <c r="D161" i="33"/>
  <c r="C294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<sst xmlns="http://schemas.openxmlformats.org/spreadsheetml/2006/main" count="3128" uniqueCount="1467">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</sst>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58.879999999999995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58.879999999999995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58.879999999999995</v>
      </c>
      <c r="G9" s="81"/>
      <c r="H9" s="61">
        <f>SUM(L34:L43)</f>
        <v>9</v>
      </c>
      <c r="I9" s="81"/>
      <c r="J9" s="81"/>
      <c r="K9" s="93">
        <f>H9-F9</f>
        <v>-49.879999999999995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0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2</v>
      </c>
      <c r="O20" s="173">
        <f t="shared" si="21"/>
        <v>2</v>
      </c>
      <c r="P20" s="173">
        <f t="shared" si="21"/>
        <v>2</v>
      </c>
      <c r="Q20" s="173">
        <f t="shared" si="21"/>
        <v>2</v>
      </c>
      <c r="R20" s="173">
        <f t="shared" si="21"/>
        <v>2</v>
      </c>
      <c r="S20" s="173">
        <f t="shared" si="21"/>
        <v>2</v>
      </c>
      <c r="T20" s="173">
        <f t="shared" si="21"/>
        <v>2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5</v>
      </c>
      <c r="O69" s="173">
        <f>IF($AA69=0,99,IF(O82&gt;3,CdTrp1!N77,CdTrp1!N53))</f>
        <v>5</v>
      </c>
      <c r="P69" s="173">
        <f>IF($AA69=0,99,IF(P82&gt;3,CdTrp1!O77,CdTrp1!O53))</f>
        <v>5</v>
      </c>
      <c r="Q69" s="173">
        <f>IF($AA69=0,99,IF(Q82&gt;3,CdTrp1!P77,CdTrp1!P53))</f>
        <v>5</v>
      </c>
      <c r="R69" s="173">
        <f>IF($AA69=0,99,IF(R82&gt;3,CdTrp1!Q77,CdTrp1!Q53))</f>
        <v>5</v>
      </c>
      <c r="S69" s="173">
        <f>IF($AA69=0,99,IF(S82&gt;3,CdTrp1!R77,CdTrp1!R53))</f>
        <v>5</v>
      </c>
      <c r="T69" s="173">
        <f>IF($AA69=0,99,IF(T82&gt;3,CdTrp1!S77,CdTrp1!S53))</f>
        <v>5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5</v>
      </c>
      <c r="O82" s="173">
        <f>CdTrp1!N77</f>
        <v>5</v>
      </c>
      <c r="P82" s="173">
        <f>CdTrp1!O77</f>
        <v>5</v>
      </c>
      <c r="Q82" s="173">
        <f>CdTrp1!P77</f>
        <v>5</v>
      </c>
      <c r="R82" s="173">
        <f>CdTrp1!Q77</f>
        <v>5</v>
      </c>
      <c r="S82" s="173">
        <f>CdTrp1!R77</f>
        <v>5</v>
      </c>
      <c r="T82" s="173">
        <f>CdTrp1!S77</f>
        <v>5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C23" sqref="C2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895.08710869565266</v>
      </c>
      <c r="G9" s="30">
        <f>AV102</f>
        <v>53.940173913043481</v>
      </c>
      <c r="H9" s="30">
        <f t="shared" ref="H9:AD9" si="4">AW102</f>
        <v>53.831521739130437</v>
      </c>
      <c r="I9" s="30">
        <f t="shared" si="4"/>
        <v>53.722869565217394</v>
      </c>
      <c r="J9" s="30">
        <f t="shared" si="4"/>
        <v>53.668543478260872</v>
      </c>
      <c r="K9" s="30">
        <f t="shared" si="4"/>
        <v>53.614217391304351</v>
      </c>
      <c r="L9" s="30">
        <f t="shared" si="4"/>
        <v>32.559891304347829</v>
      </c>
      <c r="M9" s="30">
        <f t="shared" si="4"/>
        <v>32.505565217391307</v>
      </c>
      <c r="N9" s="30">
        <f t="shared" si="4"/>
        <v>32.451239130434786</v>
      </c>
      <c r="O9" s="30">
        <f t="shared" si="4"/>
        <v>32.342586956521743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30.712804347826086</v>
      </c>
      <c r="AA9" s="30">
        <f t="shared" si="4"/>
        <v>51.712804347826086</v>
      </c>
      <c r="AB9" s="30">
        <f t="shared" si="4"/>
        <v>53.940173913043481</v>
      </c>
      <c r="AC9" s="30">
        <f t="shared" si="4"/>
        <v>53.940173913043481</v>
      </c>
      <c r="AD9" s="30">
        <f t="shared" si="4"/>
        <v>53.940173913043481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2198.8371086956513</v>
      </c>
      <c r="G13" s="30">
        <f>SUM(G5:G11)</f>
        <v>109.94017391304348</v>
      </c>
      <c r="H13" s="30">
        <f t="shared" ref="H13:AD13" si="8">SUM(H5:H11)</f>
        <v>109.83152173913044</v>
      </c>
      <c r="I13" s="30">
        <f t="shared" si="8"/>
        <v>114.97286956521739</v>
      </c>
      <c r="J13" s="30">
        <f t="shared" si="8"/>
        <v>128.91854347826086</v>
      </c>
      <c r="K13" s="30">
        <f t="shared" si="8"/>
        <v>128.86421739130435</v>
      </c>
      <c r="L13" s="30">
        <f t="shared" si="8"/>
        <v>127.05989130434783</v>
      </c>
      <c r="M13" s="30">
        <f t="shared" si="8"/>
        <v>114.75556521739131</v>
      </c>
      <c r="N13" s="30">
        <f t="shared" si="8"/>
        <v>118.20123913043479</v>
      </c>
      <c r="O13" s="30">
        <f t="shared" si="8"/>
        <v>116.34258695652174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97.212804347826079</v>
      </c>
      <c r="AA13" s="30">
        <f t="shared" si="8"/>
        <v>111.21280434782608</v>
      </c>
      <c r="AB13" s="30">
        <f t="shared" si="8"/>
        <v>113.44017391304348</v>
      </c>
      <c r="AC13" s="30">
        <f t="shared" si="8"/>
        <v>109.94017391304348</v>
      </c>
      <c r="AD13" s="30">
        <f t="shared" si="8"/>
        <v>109.94017391304348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58.8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1425.3371086956527</v>
      </c>
      <c r="C91" s="5"/>
      <c r="D91" s="202">
        <f>B91/Troupeau!$B$17</f>
        <v>3.992540920716114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2091.0371086956529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58.8</v>
      </c>
      <c r="C95" s="5"/>
      <c r="D95" s="202">
        <f>B95/Troupeau!$B$17</f>
        <v>0.16470588235294117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4.5714285714285712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154.80000000000001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391.14782608695651</v>
      </c>
      <c r="AW99" s="62">
        <f t="shared" ref="AW99:BS99" si="68">SUM(AW90:AW98)</f>
        <v>388.04347826086956</v>
      </c>
      <c r="AX99" s="62">
        <f t="shared" si="68"/>
        <v>384.93913043478261</v>
      </c>
      <c r="AY99" s="62">
        <f t="shared" si="68"/>
        <v>383.38695652173914</v>
      </c>
      <c r="AZ99" s="62">
        <f t="shared" si="68"/>
        <v>381.83478260869566</v>
      </c>
      <c r="BA99" s="62">
        <f t="shared" si="68"/>
        <v>380.28260869565219</v>
      </c>
      <c r="BB99" s="62">
        <f t="shared" si="68"/>
        <v>378.73043478260871</v>
      </c>
      <c r="BC99" s="62">
        <f t="shared" si="68"/>
        <v>377.17826086956524</v>
      </c>
      <c r="BD99" s="62">
        <f t="shared" si="68"/>
        <v>374.07391304347829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327.50869565217391</v>
      </c>
      <c r="BP99" s="62">
        <f t="shared" si="68"/>
        <v>327.50869565217391</v>
      </c>
      <c r="BQ99" s="62">
        <f t="shared" si="68"/>
        <v>391.14782608695651</v>
      </c>
      <c r="BR99" s="62">
        <f t="shared" si="68"/>
        <v>391.14782608695651</v>
      </c>
      <c r="BS99" s="62">
        <f t="shared" si="68"/>
        <v>391.14782608695651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7.8229565217391306</v>
      </c>
      <c r="AW100" s="173">
        <f t="shared" ref="AW100:BS100" si="71">IF($AT$2="OL",AW99/50,AW99/10)</f>
        <v>7.7608695652173916</v>
      </c>
      <c r="AX100" s="173">
        <f t="shared" si="71"/>
        <v>7.6987826086956526</v>
      </c>
      <c r="AY100" s="173">
        <f t="shared" si="71"/>
        <v>7.6677391304347831</v>
      </c>
      <c r="AZ100" s="173">
        <f t="shared" si="71"/>
        <v>7.6366956521739136</v>
      </c>
      <c r="BA100" s="173">
        <f t="shared" si="71"/>
        <v>7.605652173913044</v>
      </c>
      <c r="BB100" s="173">
        <f t="shared" si="71"/>
        <v>7.5746086956521745</v>
      </c>
      <c r="BC100" s="173">
        <f t="shared" si="71"/>
        <v>7.543565217391305</v>
      </c>
      <c r="BD100" s="173">
        <f t="shared" si="71"/>
        <v>7.481478260869566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6.5501739130434782</v>
      </c>
      <c r="BP100" s="173">
        <f t="shared" si="71"/>
        <v>6.5501739130434782</v>
      </c>
      <c r="BQ100" s="173">
        <f t="shared" si="71"/>
        <v>7.8229565217391306</v>
      </c>
      <c r="BR100" s="173">
        <f t="shared" si="71"/>
        <v>7.8229565217391306</v>
      </c>
      <c r="BS100" s="173">
        <f t="shared" si="71"/>
        <v>7.8229565217391306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6.8229565217391306</v>
      </c>
      <c r="AW101" s="173">
        <f t="shared" ref="AW101:BS101" si="74">IF(AW100&gt;1,AW100-1,0)</f>
        <v>6.7608695652173916</v>
      </c>
      <c r="AX101" s="173">
        <f t="shared" si="74"/>
        <v>6.6987826086956526</v>
      </c>
      <c r="AY101" s="173">
        <f t="shared" si="74"/>
        <v>6.6677391304347831</v>
      </c>
      <c r="AZ101" s="173">
        <f t="shared" si="74"/>
        <v>6.6366956521739136</v>
      </c>
      <c r="BA101" s="173">
        <f t="shared" si="74"/>
        <v>6.605652173913044</v>
      </c>
      <c r="BB101" s="173">
        <f t="shared" si="74"/>
        <v>6.5746086956521745</v>
      </c>
      <c r="BC101" s="173">
        <f t="shared" si="74"/>
        <v>6.543565217391305</v>
      </c>
      <c r="BD101" s="173">
        <f t="shared" si="74"/>
        <v>6.481478260869566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5.5501739130434782</v>
      </c>
      <c r="BP101" s="173">
        <f t="shared" si="74"/>
        <v>5.5501739130434782</v>
      </c>
      <c r="BQ101" s="173">
        <f t="shared" si="74"/>
        <v>6.8229565217391306</v>
      </c>
      <c r="BR101" s="173">
        <f t="shared" si="74"/>
        <v>6.8229565217391306</v>
      </c>
      <c r="BS101" s="173">
        <f t="shared" si="74"/>
        <v>6.8229565217391306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53.940173913043481</v>
      </c>
      <c r="AW102" s="62">
        <f t="shared" ref="AW102:BS102" si="77">AW86+AW87*AW101</f>
        <v>53.831521739130437</v>
      </c>
      <c r="AX102" s="62">
        <f t="shared" si="77"/>
        <v>53.722869565217394</v>
      </c>
      <c r="AY102" s="62">
        <f t="shared" si="77"/>
        <v>53.668543478260872</v>
      </c>
      <c r="AZ102" s="62">
        <f t="shared" si="77"/>
        <v>53.614217391304351</v>
      </c>
      <c r="BA102" s="62">
        <f t="shared" si="77"/>
        <v>32.559891304347829</v>
      </c>
      <c r="BB102" s="62">
        <f t="shared" si="77"/>
        <v>32.505565217391307</v>
      </c>
      <c r="BC102" s="62">
        <f t="shared" si="77"/>
        <v>32.451239130434786</v>
      </c>
      <c r="BD102" s="62">
        <f t="shared" si="77"/>
        <v>32.342586956521743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30.712804347826086</v>
      </c>
      <c r="BP102" s="62">
        <f t="shared" si="77"/>
        <v>51.712804347826086</v>
      </c>
      <c r="BQ102" s="62">
        <f t="shared" si="77"/>
        <v>53.940173913043481</v>
      </c>
      <c r="BR102" s="62">
        <f t="shared" si="77"/>
        <v>53.940173913043481</v>
      </c>
      <c r="BS102" s="62">
        <f t="shared" si="77"/>
        <v>53.940173913043481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3079.8604420289857</v>
      </c>
      <c r="D118" s="202">
        <f>B118/Troupeau!$B$17</f>
        <v>8.6270600617058424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863.7</v>
      </c>
      <c r="D119" s="202">
        <f>IF(B119=0,0,B119/Troupeau!$C$17)</f>
        <v>41.128571428571433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3943.5604420289856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4957.5604420289856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3305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126921.02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49.879999999999995</v>
      </c>
      <c r="C119" s="190">
        <f>[1]Eco!$B$79</f>
        <v>80</v>
      </c>
      <c r="J119" s="173">
        <f>B119*C119</f>
        <v>3990.3999999999996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54131.353320000002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35707.5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37082.166679999995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24721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24082.166679999995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16055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7.35</v>
      </c>
      <c r="W247" s="173">
        <f>[1]Eco!$B$111</f>
        <v>28.3</v>
      </c>
      <c r="X247" s="173">
        <f>T247*W247</f>
        <v>208.005</v>
      </c>
    </row>
    <row r="248" spans="17:31" x14ac:dyDescent="0.25">
      <c r="W248" s="14" t="s">
        <v>1117</v>
      </c>
      <c r="X248" s="173">
        <f>SUM(X245:X247)</f>
        <v>208.005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7442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1400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1</v>
      </c>
      <c r="U259" s="173">
        <f>IF(T259=0,0,[1]Protect!$B79)</f>
        <v>22000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5953.6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5953.6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Z3_OLBV_T3_SC1si</v>
      </c>
      <c r="D1" s="275" t="str">
        <f>CONCATENATE(C1,"_corr")</f>
        <v>Z3_OLBV_T3_SC1si_corr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7</v>
      </c>
      <c r="D122" s="173">
        <f t="shared" si="25"/>
        <v>7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370.91604197901046</v>
      </c>
      <c r="AW160" s="62">
        <f t="shared" ref="AW160:BS160" si="83">SUM(AW151:AW159)</f>
        <v>367.97226386806597</v>
      </c>
      <c r="AX160" s="62">
        <f t="shared" si="83"/>
        <v>365.02848575712142</v>
      </c>
      <c r="AY160" s="62">
        <f t="shared" si="83"/>
        <v>363.55659670164914</v>
      </c>
      <c r="AZ160" s="62">
        <f t="shared" si="83"/>
        <v>362.08470764617692</v>
      </c>
      <c r="BA160" s="62">
        <f t="shared" si="83"/>
        <v>360.61281859070465</v>
      </c>
      <c r="BB160" s="62">
        <f t="shared" si="83"/>
        <v>359.14092953523237</v>
      </c>
      <c r="BC160" s="62">
        <f t="shared" si="83"/>
        <v>357.6690404797601</v>
      </c>
      <c r="BD160" s="62">
        <f t="shared" si="83"/>
        <v>354.72526236881561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310.5685907046477</v>
      </c>
      <c r="BP160" s="62">
        <f t="shared" si="83"/>
        <v>310.5685907046477</v>
      </c>
      <c r="BQ160" s="62">
        <f t="shared" si="83"/>
        <v>370.91604197901046</v>
      </c>
      <c r="BR160" s="62">
        <f t="shared" si="83"/>
        <v>370.91604197901046</v>
      </c>
      <c r="BS160" s="62">
        <f t="shared" si="83"/>
        <v>370.91604197901046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7.4183208395802094</v>
      </c>
      <c r="AW161" s="173">
        <f t="shared" ref="AW161:BS161" si="86">IF($AT$62="OL",AW160/50,AW160/10)</f>
        <v>7.3594452773613197</v>
      </c>
      <c r="AX161" s="173">
        <f t="shared" si="86"/>
        <v>7.3005697151424283</v>
      </c>
      <c r="AY161" s="173">
        <f t="shared" si="86"/>
        <v>7.271131934032983</v>
      </c>
      <c r="AZ161" s="173">
        <f t="shared" si="86"/>
        <v>7.2416941529235386</v>
      </c>
      <c r="BA161" s="173">
        <f t="shared" si="86"/>
        <v>7.2122563718140933</v>
      </c>
      <c r="BB161" s="173">
        <f t="shared" si="86"/>
        <v>7.1828185907046471</v>
      </c>
      <c r="BC161" s="173">
        <f t="shared" si="86"/>
        <v>7.1533808095952018</v>
      </c>
      <c r="BD161" s="173">
        <f t="shared" si="86"/>
        <v>7.0945052473763122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6.2113718140929537</v>
      </c>
      <c r="BP161" s="173">
        <f t="shared" si="86"/>
        <v>6.2113718140929537</v>
      </c>
      <c r="BQ161" s="173">
        <f t="shared" si="86"/>
        <v>7.4183208395802094</v>
      </c>
      <c r="BR161" s="173">
        <f t="shared" si="86"/>
        <v>7.4183208395802094</v>
      </c>
      <c r="BS161" s="173">
        <f t="shared" si="86"/>
        <v>7.4183208395802094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6.4183208395802094</v>
      </c>
      <c r="AW162" s="173">
        <f t="shared" ref="AW162:BS162" si="89">IF(AW161&gt;1,AW161-1,0)</f>
        <v>6.3594452773613197</v>
      </c>
      <c r="AX162" s="173">
        <f t="shared" si="89"/>
        <v>6.3005697151424283</v>
      </c>
      <c r="AY162" s="173">
        <f t="shared" si="89"/>
        <v>6.271131934032983</v>
      </c>
      <c r="AZ162" s="173">
        <f t="shared" si="89"/>
        <v>6.2416941529235386</v>
      </c>
      <c r="BA162" s="173">
        <f t="shared" si="89"/>
        <v>6.2122563718140933</v>
      </c>
      <c r="BB162" s="173">
        <f t="shared" si="89"/>
        <v>6.1828185907046471</v>
      </c>
      <c r="BC162" s="173">
        <f t="shared" si="89"/>
        <v>6.1533808095952018</v>
      </c>
      <c r="BD162" s="173">
        <f t="shared" si="89"/>
        <v>6.0945052473763122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5.2113718140929537</v>
      </c>
      <c r="BP162" s="173">
        <f t="shared" si="89"/>
        <v>5.2113718140929537</v>
      </c>
      <c r="BQ162" s="173">
        <f t="shared" si="89"/>
        <v>6.4183208395802094</v>
      </c>
      <c r="BR162" s="173">
        <f t="shared" si="89"/>
        <v>6.4183208395802094</v>
      </c>
      <c r="BS162" s="173">
        <f t="shared" si="89"/>
        <v>6.4183208395802094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53.232061469265368</v>
      </c>
      <c r="AW163" s="62">
        <f t="shared" ref="AW163:BS163" si="92">AW147+AW148*AW162</f>
        <v>53.129029235382312</v>
      </c>
      <c r="AX163" s="62">
        <f t="shared" si="92"/>
        <v>53.025997001499249</v>
      </c>
      <c r="AY163" s="62">
        <f t="shared" si="92"/>
        <v>52.974480884557721</v>
      </c>
      <c r="AZ163" s="62">
        <f t="shared" si="92"/>
        <v>52.922964767616193</v>
      </c>
      <c r="BA163" s="62">
        <f t="shared" si="92"/>
        <v>31.871448650674665</v>
      </c>
      <c r="BB163" s="62">
        <f t="shared" si="92"/>
        <v>31.81993253373313</v>
      </c>
      <c r="BC163" s="62">
        <f t="shared" si="92"/>
        <v>31.768416416791602</v>
      </c>
      <c r="BD163" s="62">
        <f t="shared" si="92"/>
        <v>31.665384182908547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30.119900674662667</v>
      </c>
      <c r="BP163" s="62">
        <f t="shared" si="92"/>
        <v>51.119900674662667</v>
      </c>
      <c r="BQ163" s="62">
        <f t="shared" si="92"/>
        <v>53.232061469265368</v>
      </c>
      <c r="BR163" s="62">
        <f t="shared" si="92"/>
        <v>53.232061469265368</v>
      </c>
      <c r="BS163" s="62">
        <f t="shared" si="92"/>
        <v>53.232061469265368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7.35</v>
      </c>
      <c r="AN191" s="173">
        <f>[1]Eco!$B$111</f>
        <v>28.3</v>
      </c>
      <c r="AO191" s="173">
        <f>AK191*AN191</f>
        <v>208.005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208.005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1327.5862068965516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3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208.005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208.005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52682.1</v>
      </c>
      <c r="D211" s="264">
        <f>ROUND(SUM(D201:D210),0)</f>
        <v>50886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10279.633319999995</v>
      </c>
      <c r="D218" s="261">
        <f t="shared" si="106"/>
        <v>9748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54132</v>
      </c>
      <c r="D221" s="264">
        <f>ROUND(SUM(D216:D220),0)</f>
        <v>51332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35708</v>
      </c>
      <c r="D236" s="264">
        <f>ROUND(SUM(D222:D235),0)</f>
        <v>34178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37081.100000000006</v>
      </c>
      <c r="D237" s="264">
        <f>D194+D211-D221-D236</f>
        <v>35775</v>
      </c>
    </row>
    <row r="238" spans="1:49" x14ac:dyDescent="0.25">
      <c r="B238" s="211" t="s">
        <v>1090</v>
      </c>
      <c r="C238" s="173">
        <f>ROUND(C237/Scénario!$K$4,0)</f>
        <v>24721</v>
      </c>
      <c r="D238" s="264">
        <f>ROUND(D237/D83,0)</f>
        <v>17888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24081</v>
      </c>
      <c r="D241" s="268">
        <f>ROUND(D237-D239-D240,0)</f>
        <v>22775</v>
      </c>
    </row>
    <row r="242" spans="1:15" x14ac:dyDescent="0.25">
      <c r="B242" s="211" t="s">
        <v>1094</v>
      </c>
      <c r="C242" s="173">
        <f>ROUND(C241/Scénario!K4,0)</f>
        <v>16054</v>
      </c>
      <c r="D242" s="264">
        <f>ROUND(D241/D83,0)</f>
        <v>11388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895.08710869565266</v>
      </c>
      <c r="D248" s="264">
        <f>ROUND(SUM(AV163:BS163),1)</f>
        <v>882.5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58.8</v>
      </c>
      <c r="D251" s="173">
        <f>C251</f>
        <v>58.8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3079</v>
      </c>
      <c r="D281" s="264">
        <f>ROUND(D245+D248+D251+D254+D257+D260+D261,0)</f>
        <v>2996</v>
      </c>
    </row>
    <row r="282" spans="1:4" x14ac:dyDescent="0.25">
      <c r="B282" s="14" t="s">
        <v>1372</v>
      </c>
      <c r="C282" s="173">
        <f>ROUND(C246+C249+C252+C255+C258,0)</f>
        <v>864</v>
      </c>
      <c r="D282" s="264">
        <f>ROUND(D246+D249+D252+D255+D258,0)</f>
        <v>859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8.6199999999999992</v>
      </c>
      <c r="D284" s="173">
        <f>ROUND(D281/(Troupeau!$B$17*G63),2)</f>
        <v>8.85</v>
      </c>
    </row>
    <row r="285" spans="1:4" x14ac:dyDescent="0.25">
      <c r="B285" s="14" t="s">
        <v>1375</v>
      </c>
      <c r="C285" s="173">
        <f>IF(Troupeau!$C$17=0,0,ROUND(C282/Troupeau!$C$17,2))</f>
        <v>41.14</v>
      </c>
      <c r="D285" s="173">
        <f>IF(Troupeau!$C$17=0,0,ROUND(D282/Troupeau!$C$17*G63,2))</f>
        <v>38.79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3943</v>
      </c>
      <c r="D287" s="264">
        <f>SUM(D281:D283)</f>
        <v>3855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4957</v>
      </c>
      <c r="D292" s="264">
        <f>ROUND(SUM(D287:D291),0)</f>
        <v>4854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3305</v>
      </c>
      <c r="D294" s="173">
        <f>ROUND((D292-D293)/D83,0)</f>
        <v>2427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7" activePane="bottomLeft" state="frozen"/>
      <selection pane="bottomLeft" activeCell="K54" sqref="K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43.18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709</v>
      </c>
      <c r="C73" s="64">
        <f t="shared" ref="C73:Y73" si="28">ROUND(SUM(C63:C72),0)</f>
        <v>702</v>
      </c>
      <c r="D73" s="64">
        <f t="shared" si="28"/>
        <v>628</v>
      </c>
      <c r="E73" s="64">
        <f t="shared" si="28"/>
        <v>328</v>
      </c>
      <c r="F73" s="64">
        <f t="shared" si="28"/>
        <v>362</v>
      </c>
      <c r="G73" s="64">
        <f t="shared" si="28"/>
        <v>343</v>
      </c>
      <c r="H73" s="64">
        <f t="shared" si="28"/>
        <v>330</v>
      </c>
      <c r="I73" s="64">
        <f t="shared" si="28"/>
        <v>328</v>
      </c>
      <c r="J73" s="64">
        <f t="shared" si="28"/>
        <v>362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355</v>
      </c>
      <c r="V73" s="64">
        <f t="shared" si="28"/>
        <v>688</v>
      </c>
      <c r="W73" s="64">
        <f t="shared" si="28"/>
        <v>686</v>
      </c>
      <c r="X73" s="64">
        <f t="shared" si="28"/>
        <v>709</v>
      </c>
      <c r="Y73" s="64">
        <f t="shared" si="28"/>
        <v>709</v>
      </c>
      <c r="Z73" s="52"/>
      <c r="AA73" s="56">
        <f>ROUND(SUM(B73:Y73),0)</f>
        <v>8636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2023-01-09T10:30:47Z</dcterms:modified>
</cp:coreProperties>
</file>