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9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AX7" i="29"/>
  <c r="AY7" i="29"/>
  <c r="BD7" i="29" s="1"/>
  <c r="BE7" i="29" s="1"/>
  <c r="BF7" i="29" s="1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D8" i="29"/>
  <c r="BE8" i="29" s="1"/>
  <c r="BF8" i="29" s="1"/>
  <c r="BL8" i="29" s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8" i="29" l="1"/>
  <c r="BI8" i="29"/>
  <c r="BH8" i="29"/>
  <c r="BK8" i="29"/>
  <c r="BG8" i="29"/>
  <c r="BJ25" i="29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X73" i="30"/>
  <c r="W73" i="30"/>
  <c r="V73" i="30"/>
  <c r="U73" i="30"/>
  <c r="T73" i="30"/>
  <c r="S73" i="30"/>
  <c r="R73" i="30"/>
  <c r="Q73" i="30"/>
  <c r="P73" i="30"/>
  <c r="O73" i="30"/>
  <c r="N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H30" i="29"/>
  <c r="G30" i="29"/>
  <c r="F30" i="29"/>
  <c r="E30" i="29"/>
  <c r="D30" i="29"/>
  <c r="C30" i="29"/>
  <c r="Z29" i="29"/>
  <c r="Y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BA10" i="29" s="1"/>
  <c r="R9" i="7"/>
  <c r="S9" i="7"/>
  <c r="BA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D253" i="33" l="1"/>
  <c r="D273" i="33"/>
  <c r="D252" i="33"/>
  <c r="D280" i="33"/>
  <c r="BE92" i="30"/>
  <c r="C20" i="29"/>
  <c r="T171" i="28"/>
  <c r="U171" i="28" s="1"/>
  <c r="Z171" i="28"/>
  <c r="X171" i="28"/>
  <c r="Y171" i="28"/>
  <c r="Z171" i="31"/>
  <c r="AC171" i="31" s="1"/>
  <c r="T171" i="31"/>
  <c r="X171" i="31"/>
  <c r="AA171" i="31" s="1"/>
  <c r="Y171" i="31"/>
  <c r="AB171" i="31" s="1"/>
  <c r="S3" i="29"/>
  <c r="AY27" i="30"/>
  <c r="BD27" i="30"/>
  <c r="BF27" i="30"/>
  <c r="BG27" i="30"/>
  <c r="BL27" i="30"/>
  <c r="BN27" i="30"/>
  <c r="AV27" i="30"/>
  <c r="AV72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AC194" i="28" s="1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J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A171" i="28"/>
  <c r="V189" i="31"/>
  <c r="AC189" i="31"/>
  <c r="K113" i="31"/>
  <c r="AA186" i="28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O29" i="29" s="1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61" i="30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W29" i="28"/>
  <c r="AC178" i="28"/>
  <c r="K73" i="28"/>
  <c r="AP7" i="29" s="1"/>
  <c r="Y30" i="28"/>
  <c r="X30" i="28"/>
  <c r="AC30" i="28"/>
  <c r="Z30" i="28"/>
  <c r="W30" i="28"/>
  <c r="AB30" i="28"/>
  <c r="AA30" i="28"/>
  <c r="AC31" i="28"/>
  <c r="Y24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W27" i="28"/>
  <c r="Y29" i="28"/>
  <c r="AB31" i="28"/>
  <c r="AC32" i="28"/>
  <c r="AB33" i="28"/>
  <c r="AA174" i="28"/>
  <c r="AF201" i="28"/>
  <c r="U201" i="28"/>
  <c r="AG201" i="28"/>
  <c r="AJ201" i="28"/>
  <c r="W201" i="28"/>
  <c r="V201" i="28"/>
  <c r="AC205" i="28"/>
  <c r="AC202" i="28"/>
  <c r="AA182" i="28"/>
  <c r="T14" i="7"/>
  <c r="T13" i="7"/>
  <c r="T12" i="7"/>
  <c r="T11" i="7"/>
  <c r="AB26" i="28" l="1"/>
  <c r="X26" i="28"/>
  <c r="W26" i="28"/>
  <c r="Y26" i="28"/>
  <c r="AA26" i="28"/>
  <c r="Z26" i="28"/>
  <c r="Z34" i="28" s="1"/>
  <c r="K37" i="28" s="1"/>
  <c r="C93" i="33" s="1"/>
  <c r="BI106" i="30"/>
  <c r="BN108" i="30"/>
  <c r="BA106" i="30"/>
  <c r="AV107" i="30"/>
  <c r="BF108" i="30"/>
  <c r="BL106" i="30"/>
  <c r="BM108" i="30"/>
  <c r="BJ108" i="30"/>
  <c r="BB107" i="30"/>
  <c r="BG108" i="30"/>
  <c r="BI108" i="30"/>
  <c r="BN106" i="30"/>
  <c r="BC107" i="30"/>
  <c r="BD106" i="30"/>
  <c r="BE108" i="30"/>
  <c r="BL108" i="30"/>
  <c r="BJ106" i="30"/>
  <c r="BH108" i="30"/>
  <c r="BM106" i="30"/>
  <c r="AY107" i="30"/>
  <c r="BH106" i="30"/>
  <c r="BF106" i="30"/>
  <c r="AX107" i="30"/>
  <c r="BE106" i="30"/>
  <c r="D234" i="33"/>
  <c r="D274" i="33"/>
  <c r="AG173" i="31"/>
  <c r="AF197" i="31"/>
  <c r="P72" i="30"/>
  <c r="CM108" i="30"/>
  <c r="CS108" i="30"/>
  <c r="CU107" i="30"/>
  <c r="CG107" i="30"/>
  <c r="CH106" i="30"/>
  <c r="CM106" i="30"/>
  <c r="CW108" i="30"/>
  <c r="CH108" i="30"/>
  <c r="CS107" i="30"/>
  <c r="CN107" i="30"/>
  <c r="CT106" i="30"/>
  <c r="CJ106" i="30"/>
  <c r="CO106" i="30"/>
  <c r="CQ107" i="30"/>
  <c r="CR106" i="30"/>
  <c r="CW106" i="30"/>
  <c r="CR108" i="30"/>
  <c r="CK107" i="30"/>
  <c r="CJ108" i="30"/>
  <c r="CM107" i="30"/>
  <c r="CP107" i="30"/>
  <c r="CS106" i="30"/>
  <c r="CQ106" i="30"/>
  <c r="CV106" i="30"/>
  <c r="BB106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E108" i="30"/>
  <c r="CU108" i="30"/>
  <c r="CI108" i="30"/>
  <c r="CO107" i="30"/>
  <c r="CU106" i="30"/>
  <c r="U197" i="31"/>
  <c r="W173" i="31"/>
  <c r="AB25" i="28"/>
  <c r="AB34" i="28" s="1"/>
  <c r="K32" i="28" s="1"/>
  <c r="C89" i="33" s="1"/>
  <c r="AF188" i="31"/>
  <c r="Z25" i="28"/>
  <c r="I29" i="29"/>
  <c r="M73" i="30"/>
  <c r="U29" i="29"/>
  <c r="Y73" i="30"/>
  <c r="AA73" i="30"/>
  <c r="W29" i="29"/>
  <c r="AB73" i="30"/>
  <c r="X29" i="29"/>
  <c r="V29" i="29"/>
  <c r="Z73" i="30"/>
  <c r="J72" i="30"/>
  <c r="F8" i="29"/>
  <c r="H8" i="29"/>
  <c r="H201" i="29" s="1"/>
  <c r="L72" i="30"/>
  <c r="X8" i="29"/>
  <c r="X201" i="29" s="1"/>
  <c r="AB72" i="30"/>
  <c r="G8" i="29"/>
  <c r="G201" i="29" s="1"/>
  <c r="K72" i="30"/>
  <c r="AD72" i="30"/>
  <c r="Z8" i="29"/>
  <c r="AC72" i="30"/>
  <c r="Y8" i="29"/>
  <c r="Y201" i="29" s="1"/>
  <c r="M72" i="30"/>
  <c r="I72" i="30"/>
  <c r="E8" i="29"/>
  <c r="H72" i="30"/>
  <c r="D8" i="29"/>
  <c r="D201" i="29" s="1"/>
  <c r="C8" i="29"/>
  <c r="C201" i="29" s="1"/>
  <c r="C212" i="29" s="1"/>
  <c r="G72" i="30"/>
  <c r="M8" i="29"/>
  <c r="M201" i="29" s="1"/>
  <c r="Q72" i="30"/>
  <c r="U8" i="29"/>
  <c r="U201" i="29" s="1"/>
  <c r="Y72" i="30"/>
  <c r="U72" i="30"/>
  <c r="Q8" i="29"/>
  <c r="Q201" i="29" s="1"/>
  <c r="R8" i="29"/>
  <c r="V72" i="30"/>
  <c r="S72" i="30"/>
  <c r="O8" i="29"/>
  <c r="O201" i="29" s="1"/>
  <c r="T72" i="30"/>
  <c r="P8" i="29"/>
  <c r="P201" i="29" s="1"/>
  <c r="T8" i="29"/>
  <c r="T201" i="29" s="1"/>
  <c r="X72" i="30"/>
  <c r="S8" i="29"/>
  <c r="W72" i="30"/>
  <c r="N8" i="29"/>
  <c r="N201" i="29" s="1"/>
  <c r="R72" i="30"/>
  <c r="V197" i="31"/>
  <c r="U173" i="31"/>
  <c r="V173" i="31"/>
  <c r="AF173" i="31"/>
  <c r="AG197" i="31"/>
  <c r="W197" i="31"/>
  <c r="AI197" i="31"/>
  <c r="AC25" i="28"/>
  <c r="AC34" i="28" s="1"/>
  <c r="K39" i="28" s="1"/>
  <c r="C96" i="33" s="1"/>
  <c r="W25" i="28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U167" i="28"/>
  <c r="V167" i="28"/>
  <c r="W167" i="28"/>
  <c r="AF188" i="28"/>
  <c r="V188" i="28"/>
  <c r="W188" i="28"/>
  <c r="AN215" i="33"/>
  <c r="C6" i="29"/>
  <c r="C10" i="29" s="1"/>
  <c r="C11" i="29" s="1"/>
  <c r="C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T240" i="3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D251" i="33" l="1"/>
  <c r="C202" i="29"/>
  <c r="C213" i="29" s="1"/>
  <c r="AI171" i="28"/>
  <c r="B110" i="30"/>
  <c r="AI171" i="31"/>
  <c r="AJ171" i="31"/>
  <c r="AJ171" i="28"/>
  <c r="F72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K48" i="28"/>
  <c r="BA85" i="30"/>
  <c r="CQ85" i="30"/>
  <c r="C71" i="33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74" i="33" l="1"/>
  <c r="C275" i="33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D275" i="33" l="1"/>
  <c r="CN102" i="30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T245" i="31"/>
  <c r="X245" i="31" s="1"/>
  <c r="F76" i="30"/>
  <c r="F77" i="30"/>
  <c r="B129" i="30" s="1"/>
  <c r="F75" i="30"/>
  <c r="AJ219" i="33"/>
  <c r="AN219" i="33" s="1"/>
  <c r="AK227" i="33"/>
  <c r="AO227" i="33" s="1"/>
  <c r="AJ218" i="33"/>
  <c r="AN218" i="33" s="1"/>
  <c r="AK226" i="33"/>
  <c r="AO226" i="33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189" i="33" l="1"/>
  <c r="C277" i="33"/>
  <c r="C193" i="33"/>
  <c r="C278" i="33"/>
  <c r="B113" i="30"/>
  <c r="B125" i="30" s="1"/>
  <c r="J141" i="31"/>
  <c r="C219" i="33" s="1"/>
  <c r="X248" i="3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D189" i="33"/>
  <c r="AK189" i="33" s="1"/>
  <c r="AO189" i="33" s="1"/>
  <c r="AO192" i="33" s="1"/>
  <c r="D278" i="33"/>
  <c r="D291" i="33" s="1"/>
  <c r="D193" i="33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L101" i="24"/>
  <c r="L112" i="24" s="1"/>
  <c r="P101" i="24"/>
  <c r="P112" i="24" s="1"/>
  <c r="P138" i="24" s="1"/>
  <c r="P151" i="24" s="1"/>
  <c r="P177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163" i="24" l="1"/>
  <c r="N172" i="24" s="1"/>
  <c r="N215" i="24" s="1"/>
  <c r="N176" i="24"/>
  <c r="I163" i="24"/>
  <c r="I176" i="24"/>
  <c r="L201" i="24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63" i="24" l="1"/>
  <c r="K172" i="24" s="1"/>
  <c r="K215" i="24" s="1"/>
  <c r="K176" i="24"/>
  <c r="O163" i="24"/>
  <c r="O172" i="24" s="1"/>
  <c r="O215" i="24" s="1"/>
  <c r="O176" i="24"/>
  <c r="O185" i="24" s="1"/>
  <c r="O216" i="24" s="1"/>
  <c r="M163" i="24"/>
  <c r="M172" i="24" s="1"/>
  <c r="M215" i="24" s="1"/>
  <c r="M176" i="24"/>
  <c r="M185" i="24" s="1"/>
  <c r="M216" i="24" s="1"/>
  <c r="J163" i="24"/>
  <c r="J172" i="24" s="1"/>
  <c r="J215" i="24" s="1"/>
  <c r="J176" i="24"/>
  <c r="J185" i="24" s="1"/>
  <c r="J216" i="24" s="1"/>
  <c r="H163" i="24"/>
  <c r="H176" i="24"/>
  <c r="H185" i="24" s="1"/>
  <c r="H216" i="24" s="1"/>
  <c r="P163" i="24"/>
  <c r="P172" i="24" s="1"/>
  <c r="P215" i="24" s="1"/>
  <c r="P176" i="24"/>
  <c r="P185" i="24" s="1"/>
  <c r="P216" i="24" s="1"/>
  <c r="L163" i="24"/>
  <c r="L172" i="24" s="1"/>
  <c r="L215" i="24" s="1"/>
  <c r="L176" i="24"/>
  <c r="L185" i="24" s="1"/>
  <c r="L216" i="24" s="1"/>
  <c r="Q163" i="24"/>
  <c r="Q172" i="24" s="1"/>
  <c r="Q215" i="24" s="1"/>
  <c r="Q176" i="24"/>
  <c r="Q185" i="24" s="1"/>
  <c r="Q216" i="24" s="1"/>
  <c r="K185" i="24"/>
  <c r="K216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CQ66" i="33"/>
  <c r="CQ77" i="33" s="1"/>
  <c r="BG64" i="33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DY72" i="33"/>
  <c r="DY84" i="33" s="1"/>
  <c r="BS66" i="33"/>
  <c r="BA71" i="33"/>
  <c r="BA82" i="33" s="1"/>
  <c r="CL66" i="33"/>
  <c r="CL77" i="33" s="1"/>
  <c r="DR67" i="33"/>
  <c r="DR78" i="33" s="1"/>
  <c r="BJ64" i="33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V78" i="33" l="1"/>
  <c r="AV154" i="33"/>
  <c r="BP78" i="33"/>
  <c r="BP154" i="33"/>
  <c r="AX78" i="33"/>
  <c r="AX135" i="33" s="1"/>
  <c r="AX154" i="33"/>
  <c r="BI75" i="33"/>
  <c r="BI132" i="33" s="1"/>
  <c r="BI151" i="33"/>
  <c r="BR78" i="33"/>
  <c r="BR154" i="33"/>
  <c r="BB78" i="33"/>
  <c r="BB154" i="33"/>
  <c r="AW78" i="33"/>
  <c r="AW135" i="33" s="1"/>
  <c r="AW154" i="33"/>
  <c r="BH75" i="33"/>
  <c r="BH121" i="33" s="1"/>
  <c r="BH167" i="33" s="1"/>
  <c r="BH151" i="33"/>
  <c r="AY78" i="33"/>
  <c r="AY154" i="33"/>
  <c r="BG75" i="33"/>
  <c r="BG151" i="33"/>
  <c r="BA78" i="33"/>
  <c r="BA124" i="33" s="1"/>
  <c r="BA170" i="33" s="1"/>
  <c r="BA154" i="33"/>
  <c r="BK75" i="33"/>
  <c r="BK121" i="33" s="1"/>
  <c r="BK167" i="33" s="1"/>
  <c r="BK151" i="33"/>
  <c r="BO78" i="33"/>
  <c r="BO154" i="33"/>
  <c r="BM75" i="33"/>
  <c r="BM151" i="33"/>
  <c r="BC78" i="33"/>
  <c r="BC154" i="33"/>
  <c r="BJ75" i="33"/>
  <c r="BJ121" i="33" s="1"/>
  <c r="BJ167" i="33" s="1"/>
  <c r="BJ151" i="33"/>
  <c r="BL75" i="33"/>
  <c r="BL151" i="33"/>
  <c r="BQ78" i="33"/>
  <c r="BQ154" i="33"/>
  <c r="AZ78" i="33"/>
  <c r="AZ135" i="33" s="1"/>
  <c r="AZ154" i="33"/>
  <c r="BD78" i="33"/>
  <c r="BD124" i="33" s="1"/>
  <c r="BD170" i="33" s="1"/>
  <c r="BD154" i="33"/>
  <c r="BS78" i="33"/>
  <c r="BS135" i="33" s="1"/>
  <c r="BS154" i="33"/>
  <c r="L211" i="33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77" i="33"/>
  <c r="DG130" i="33"/>
  <c r="DG176" i="33" s="1"/>
  <c r="DG141" i="33"/>
  <c r="DE127" i="33"/>
  <c r="DE173" i="33" s="1"/>
  <c r="DE138" i="33"/>
  <c r="BH153" i="33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CY125" i="33"/>
  <c r="CY171" i="33" s="1"/>
  <c r="CY136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J132" i="33" l="1"/>
  <c r="BN160" i="33"/>
  <c r="BN161" i="33" s="1"/>
  <c r="BN162" i="33" s="1"/>
  <c r="BI121" i="33"/>
  <c r="BI167" i="33" s="1"/>
  <c r="BD135" i="33"/>
  <c r="BK132" i="33"/>
  <c r="BH132" i="33"/>
  <c r="BA135" i="33"/>
  <c r="BJ160" i="33"/>
  <c r="BJ161" i="33" s="1"/>
  <c r="BJ162" i="33" s="1"/>
  <c r="BI160" i="33"/>
  <c r="BI161" i="33" s="1"/>
  <c r="BI162" i="33" s="1"/>
  <c r="BK160" i="33"/>
  <c r="BK161" i="33" s="1"/>
  <c r="BK162" i="33" s="1"/>
  <c r="BH160" i="33"/>
  <c r="BH161" i="33" s="1"/>
  <c r="BH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H143" i="33" l="1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J147" i="33" l="1"/>
  <c r="BJ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BC10" i="29" s="1"/>
  <c r="U9" i="7"/>
  <c r="BC11" i="29" s="1"/>
  <c r="U23" i="7"/>
  <c r="BC25" i="29" s="1"/>
  <c r="T6" i="7"/>
  <c r="BB8" i="29" s="1"/>
  <c r="T7" i="7"/>
  <c r="BB9" i="29" s="1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BB5" i="29" s="1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BB6" i="29" s="1"/>
  <c r="U4" i="7"/>
  <c r="BC6" i="29" s="1"/>
  <c r="V9" i="7"/>
  <c r="T9" i="7"/>
  <c r="BB11" i="29" s="1"/>
  <c r="T8" i="7"/>
  <c r="BB10" i="29" s="1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BA30" i="29" s="1"/>
  <c r="U5" i="7"/>
  <c r="BC7" i="29" s="1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BC8" i="29" s="1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4" i="30" s="1"/>
  <c r="C183" i="33"/>
  <c r="AK26" i="29"/>
  <c r="C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4" i="33" l="1"/>
  <c r="F83" i="30"/>
  <c r="B167" i="31" s="1"/>
  <c r="J167" i="31" s="1"/>
  <c r="C235" i="33" s="1"/>
  <c r="C185" i="33"/>
  <c r="X234" i="31"/>
  <c r="C307" i="33" s="1"/>
  <c r="AX39" i="23"/>
  <c r="AX37" i="23"/>
  <c r="AT38" i="23"/>
  <c r="AT37" i="23"/>
  <c r="AV39" i="23"/>
  <c r="AV37" i="23"/>
  <c r="AU39" i="23"/>
  <c r="AU37" i="23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Z237" i="31" s="1"/>
  <c r="D185" i="33"/>
  <c r="D183" i="33" s="1"/>
  <c r="AJ216" i="33" s="1"/>
  <c r="AN216" i="33" s="1"/>
  <c r="D220" i="33" s="1"/>
  <c r="C236" i="33"/>
  <c r="B115" i="30"/>
  <c r="B126" i="30" s="1"/>
  <c r="W172" i="18"/>
  <c r="W215" i="18" s="1"/>
  <c r="AB5" i="22" s="1"/>
  <c r="BN15" i="23" s="1"/>
  <c r="BN21" i="23" s="1"/>
  <c r="C192" i="33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R201" i="18"/>
  <c r="R211" i="18" s="1"/>
  <c r="R218" i="18" s="1"/>
  <c r="W9" i="22" s="1"/>
  <c r="R162" i="18"/>
  <c r="R172" i="18" s="1"/>
  <c r="R215" i="18" s="1"/>
  <c r="W5" i="22" s="1"/>
  <c r="P201" i="18"/>
  <c r="P211" i="18" s="1"/>
  <c r="P218" i="18" s="1"/>
  <c r="U9" i="22" s="1"/>
  <c r="P162" i="18"/>
  <c r="P172" i="18" s="1"/>
  <c r="P215" i="18" s="1"/>
  <c r="U5" i="22" s="1"/>
  <c r="S201" i="18"/>
  <c r="S211" i="18" s="1"/>
  <c r="S218" i="18" s="1"/>
  <c r="X9" i="22" s="1"/>
  <c r="S162" i="18"/>
  <c r="S172" i="18" s="1"/>
  <c r="S215" i="18" s="1"/>
  <c r="X5" i="22" s="1"/>
  <c r="BJ15" i="23" s="1"/>
  <c r="BJ21" i="23" s="1"/>
  <c r="M201" i="18"/>
  <c r="M162" i="18"/>
  <c r="Q201" i="18"/>
  <c r="Q211" i="18" s="1"/>
  <c r="Q218" i="18" s="1"/>
  <c r="V9" i="22" s="1"/>
  <c r="Q162" i="18"/>
  <c r="Q172" i="18" s="1"/>
  <c r="Q215" i="18" s="1"/>
  <c r="V5" i="22" s="1"/>
  <c r="J170" i="31"/>
  <c r="C276" i="33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O172" i="18"/>
  <c r="O215" i="18" s="1"/>
  <c r="T5" i="22" s="1"/>
  <c r="M211" i="18"/>
  <c r="M218" i="18" s="1"/>
  <c r="R9" i="22" s="1"/>
  <c r="I172" i="18"/>
  <c r="I215" i="18" s="1"/>
  <c r="N5" i="22" s="1"/>
  <c r="AZ15" i="23" s="1"/>
  <c r="AZ19" i="23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K225" i="33" l="1"/>
  <c r="AO225" i="33" s="1"/>
  <c r="AO228" i="33" s="1"/>
  <c r="D192" i="33"/>
  <c r="D276" i="33" s="1"/>
  <c r="C293" i="33"/>
  <c r="AQ228" i="33"/>
  <c r="AR228" i="33" s="1"/>
  <c r="AS228" i="33" s="1"/>
  <c r="AT228" i="33" s="1"/>
  <c r="AW228" i="33" s="1"/>
  <c r="D240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294" i="33" l="1"/>
  <c r="D294" i="33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<sst xmlns="http://schemas.openxmlformats.org/spreadsheetml/2006/main" count="3129" uniqueCount="1468">
  <si>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</si>
  <si>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</si>
  <si>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</si>
  <si>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</si>
  <si>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</si>
  <si>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</si>
  <si>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</si>
  <si>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</si>
  <si>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</si>
  <si>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</si>
  <si>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</si>
  <si>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</si>
  <si>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</si>
  <si>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</si>
  <si>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</si>
  <si>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</si>
  <si>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</si>
  <si>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</si>
  <si>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</si>
  <si>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</si>
  <si>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</si>
  <si>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</si>
  <si>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</si>
  <si>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</si>
  <si>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</si>
  <si>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</si>
  <si>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</si>
  <si>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</si>
  <si>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</si>
  <si>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</si>
  <si>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</si>
  <si>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</si>
  <si>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</si>
  <si>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</si>
  <si>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</si>
  <si>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</si>
  <si>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</si>
  <si>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</si>
  <si>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</si>
  <si>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</si>
  <si>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</si>
  <si>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</si>
  <si>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</si>
  <si>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</si>
  <si>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</si>
  <si>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</si>
  <si>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</si>
  <si>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</si>
  <si>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</si>
  <si>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</si>
  <si>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</si>
  <si>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</si>
  <si>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</si>
  <si>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</si>
  <si>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</si>
  <si>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</si>
  <si>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</si>
  <si>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</si>
  <si>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</si>
  <si>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</si>
  <si>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</si>
  <si>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</si>
  <si>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</si>
  <si>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</si>
  <si>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</si>
  <si>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</si>
  <si>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</si>
  <si>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</si>
  <si>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</si>
  <si>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</si>
  <si>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</si>
  <si>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</si>
  <si>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</si>
  <si>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</si>
  <si>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</si>
  <si>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</si>
  <si>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</si>
  <si>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</si>
  <si>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</si>
  <si>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</si>
  <si>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</si>
  <si>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</si>
  <si>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</si>
  <si>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</si>
  <si>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</si>
  <si>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</si>
  <si>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</si>
  <si>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</si>
  <si>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</si>
  <si>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</si>
  <si>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</si>
  <si>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</si>
  <si>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</si>
  <si>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</si>
  <si>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</si>
  <si>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</si>
  <si>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</si>
  <si>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</si>
  <si>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</si>
  <si>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</si>
  <si>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</si>
  <si>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</si>
  <si>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</si>
  <si>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</si>
  <si>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</si>
  <si>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</si>
  <si>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</si>
  <si>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</si>
  <si>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</si>
  <si>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</si>
  <si>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</si>
  <si>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</si>
  <si>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</si>
  <si>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</si>
  <si>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</si>
  <si>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</si>
  <si>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</si>
  <si>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</si>
  <si>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</si>
  <si>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</si>
  <si>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</si>
  <si>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</si>
  <si>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</si>
  <si>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</si>
  <si>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</si>
  <si>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</si>
  <si>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</si>
  <si>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</si>
  <si>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</si>
  <si>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</si>
  <si>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</si>
  <si>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</si>
  <si>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</si>
  <si>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</si>
  <si>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</si>
  <si>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</si>
  <si>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</si>
  <si>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</si>
  <si>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</si>
  <si>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</si>
  <si>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</si>
  <si>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</si>
  <si>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</si>
  <si>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</si>
  <si>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</si>
  <si>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</si>
  <si>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</si>
  <si>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</si>
  <si>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</si>
  <si>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</si>
  <si>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</si>
  <si>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</si>
  <si>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</si>
  <si>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</si>
  <si>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</si>
  <si>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</si>
  <si>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</si>
  <si>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</si>
  <si>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</si>
  <si>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</si>
  <si>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</si>
  <si>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</si>
  <si>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</si>
  <si>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</si>
  <si>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</si>
  <si>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</si>
  <si>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</si>
  <si>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</si>
  <si>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</si>
  <si>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</si>
  <si>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</si>
  <si>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</si>
  <si>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</si>
  <si>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</si>
  <si>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</si>
  <si>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</si>
  <si>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</si>
  <si>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</si>
  <si>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</si>
  <si>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</si>
  <si>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</si>
  <si>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</si>
  <si>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</si>
  <si>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</si>
  <si>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</si>
  <si>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</si>
  <si>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</si>
  <si>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</si>
  <si>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</si>
  <si>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</si>
  <si>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</si>
  <si>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</si>
  <si>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</si>
  <si>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</si>
  <si>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</si>
  <si>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</si>
  <si>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</si>
  <si>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</si>
  <si>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</si>
  <si>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</si>
  <si>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</si>
  <si>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</si>
  <si>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</si>
  <si>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</si>
  <si>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</si>
  <si>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</si>
  <si>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</si>
  <si>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</si>
  <si>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</si>
  <si>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</si>
  <si>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</si>
  <si>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</si>
  <si>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</si>
  <si>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</si>
  <si>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</si>
  <si>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</si>
  <si>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</si>
  <si>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</si>
  <si>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</si>
  <si>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</si>
  <si>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</si>
  <si>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</si>
  <si>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</si>
  <si>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</si>
  <si>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</si>
  <si>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</si>
  <si>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</si>
  <si>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</si>
  <si>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</si>
  <si>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</si>
  <si>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</si>
  <si>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</si>
  <si>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</si>
  <si>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</si>
  <si>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</si>
  <si>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</si>
  <si>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</si>
  <si>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</si>
  <si>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</si>
  <si>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</si>
  <si>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</si>
  <si>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</si>
  <si>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</si>
  <si>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</si>
  <si>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</si>
  <si>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</si>
  <si>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</si>
  <si>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</si>
  <si>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</si>
  <si>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</si>
  <si>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</si>
  <si>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</si>
  <si>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</si>
  <si>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</si>
  <si>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</si>
  <si>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</si>
  <si>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</si>
  <si>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</si>
  <si>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</si>
  <si>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</si>
  <si>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</si>
  <si>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</si>
  <si>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</si>
  <si>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</si>
  <si>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</si>
  <si>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</si>
  <si>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</si>
  <si>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</si>
  <si>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</si>
  <si>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</si>
  <si>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</si>
  <si>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</si>
  <si>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</si>
  <si>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</si>
  <si>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</si>
  <si>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</si>
  <si>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</si>
  <si>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</si>
  <si>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</si>
  <si>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</si>
  <si>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</si>
  <si>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</si>
  <si>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</si>
  <si>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</si>
  <si>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</si>
  <si>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</si>
  <si>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</si>
  <si>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</si>
  <si>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</si>
  <si>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</si>
  <si>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</si>
  <si>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</si>
  <si>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</si>
  <si>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</si>
  <si>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</si>
  <si>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</si>
  <si>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</si>
  <si>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</si>
  <si>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</si>
  <si>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</si>
  <si>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</si>
  <si>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</si>
  <si>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</si>
  <si>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</si>
  <si>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</si>
  <si>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</si>
  <si>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</si>
  <si>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</si>
  <si>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</si>
  <si>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</si>
  <si>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</si>
  <si>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</si>
  <si>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</si>
  <si>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</si>
  <si>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</si>
  <si>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</si>
  <si>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</si>
  <si>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</si>
  <si>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</si>
  <si>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</si>
  <si>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</si>
  <si>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</si>
  <si>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</si>
  <si>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</si>
  <si>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</si>
  <si>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</si>
  <si>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</si>
  <si>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</si>
  <si>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</si>
  <si>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</si>
  <si>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</si>
  <si>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</si>
  <si>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</si>
  <si>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</si>
  <si>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</si>
  <si>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</si>
  <si>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</si>
  <si>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</si>
  <si>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</si>
  <si>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</si>
  <si>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</si>
  <si>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</si>
  <si>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</si>
  <si>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</si>
  <si>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</si>
  <si>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</si>
  <si>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</si>
  <si>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</si>
  <si>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</si>
  <si>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</si>
  <si>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</si>
  <si>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</si>
  <si>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</si>
  <si>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</si>
  <si>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</si>
  <si>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</si>
  <si>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</si>
  <si>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</si>
  <si>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</si>
  <si>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</si>
  <si>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</si>
  <si>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</si>
  <si>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</si>
  <si>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</si>
  <si>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</si>
  <si>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</si>
  <si>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</si>
  <si>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</si>
  <si>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</si>
  <si>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</si>
  <si>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</si>
  <si>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</si>
  <si>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</si>
  <si>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</si>
  <si>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</si>
  <si>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</si>
  <si>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</si>
  <si>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</si>
  <si>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</si>
  <si>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</si>
  <si>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</si>
  <si>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</si>
  <si>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</si>
  <si>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</si>
  <si>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</si>
  <si>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</si>
  <si>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</si>
  <si>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</si>
  <si>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</si>
  <si>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</si>
  <si>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</si>
  <si>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</si>
  <si>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</si>
  <si>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</si>
  <si>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</si>
  <si>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</si>
  <si>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</si>
  <si>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</si>
  <si>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</si>
  <si>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</si>
  <si>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</si>
  <si>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</si>
  <si>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</si>
  <si>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</si>
  <si>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</si>
  <si>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</si>
  <si>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</si>
  <si>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</si>
  <si>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</si>
  <si>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</si>
  <si>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</si>
  <si>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</si>
  <si>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</si>
  <si>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</si>
  <si>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</si>
  <si>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</si>
  <si>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</si>
  <si>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</si>
  <si>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</si>
  <si>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</si>
  <si>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</si>
  <si>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</si>
  <si>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</si>
  <si>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</si>
  <si>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</si>
  <si>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</si>
  <si>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</si>
  <si>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</si>
  <si>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</si>
  <si>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</si>
  <si>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</si>
  <si>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</si>
  <si>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</si>
  <si>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</si>
  <si>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</si>
  <si>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</si>
  <si>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</si>
  <si>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</si>
  <si>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</si>
  <si>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</si>
  <si>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</si>
  <si>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</si>
  <si>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</si>
  <si>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</si>
  <si>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</si>
  <si>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</si>
  <si>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</si>
  <si>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</si>
  <si>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</si>
  <si>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</si>
  <si>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</si>
  <si>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</si>
  <si>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</si>
  <si>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</si>
  <si>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</si>
  <si>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</si>
  <si>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</si>
  <si>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</si>
  <si>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</si>
  <si>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</si>
  <si>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</si>
  <si>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</si>
  <si>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</si>
  <si>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</si>
  <si>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</si>
  <si>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</si>
  <si>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</si>
  <si>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</si>
  <si>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</si>
  <si>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</si>
  <si>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</si>
  <si>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</si>
  <si>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</si>
  <si>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</si>
  <si>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</si>
  <si>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</si>
  <si>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</si>
  <si>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</si>
  <si>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</si>
  <si>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</si>
  <si>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</si>
  <si>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</si>
  <si>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</si>
  <si>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</si>
  <si>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</si>
  <si>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</si>
  <si>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</si>
  <si>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</si>
  <si>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</si>
  <si>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</si>
  <si>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</si>
  <si>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</si>
  <si>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</si>
  <si>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</si>
  <si>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</si>
  <si>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</si>
  <si>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</si>
  <si>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</si>
  <si>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</si>
  <si>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</si>
  <si>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</si>
  <si>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</si>
  <si>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</si>
  <si>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</si>
  <si>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</si>
  <si>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</si>
  <si>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</si>
  <si>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</si>
  <si>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</si>
  <si>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</si>
  <si>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</si>
  <si>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</si>
  <si>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</si>
  <si>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</si>
  <si>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</si>
  <si>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</si>
  <si>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</si>
  <si>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</si>
  <si>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</si>
  <si>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</si>
  <si>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</si>
  <si>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</si>
  <si>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</si>
  <si>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</si>
  <si>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</si>
  <si>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</si>
  <si>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</si>
  <si>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</si>
  <si>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</si>
  <si>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</si>
  <si>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</si>
  <si>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</si>
  <si>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</si>
  <si>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</si>
  <si>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</si>
  <si>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</si>
  <si>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</si>
  <si>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</si>
  <si>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</si>
  <si>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</si>
  <si>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</si>
  <si>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</si>
  <si>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</si>
  <si>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</si>
  <si>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</si>
  <si>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</si>
  <si>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</si>
  <si>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</si>
  <si>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</si>
  <si>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</si>
  <si>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</si>
  <si>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</si>
  <si>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</si>
  <si>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</si>
  <si>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</si>
  <si>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</si>
  <si>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</si>
  <si>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</si>
  <si>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</si>
  <si>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</si>
  <si>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</si>
  <si>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</si>
  <si>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</si>
  <si>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</si>
  <si>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</si>
  <si>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</si>
  <si>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</si>
  <si>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</si>
  <si>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</si>
  <si>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</si>
  <si>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</si>
  <si>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</si>
  <si>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</si>
  <si>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</si>
  <si>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</si>
  <si>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</si>
  <si>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</si>
  <si>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</si>
  <si>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</si>
  <si>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</si>
  <si>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</si>
  <si>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</si>
  <si>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</si>
  <si>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</si>
  <si>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</si>
  <si>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</si>
  <si>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</si>
  <si>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</si>
  <si>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</si>
  <si>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</si>
  <si>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</si>
  <si>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</si>
  <si>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</si>
  <si>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</si>
  <si>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</si>
  <si>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</si>
  <si>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</si>
  <si>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</si>
  <si>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</si>
  <si>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</si>
  <si>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</si>
  <si>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</si>
  <si>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</si>
  <si>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</si>
  <si>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</si>
  <si>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</si>
  <si>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</si>
  <si>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</si>
  <si>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</si>
  <si>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</si>
  <si>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</si>
  <si>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</si>
  <si>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</si>
  <si>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</si>
  <si>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</si>
  <si>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</si>
  <si>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</si>
  <si>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</si>
  <si>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</si>
  <si>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</si>
  <si>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</si>
  <si>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</si>
  <si>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</si>
  <si>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</si>
  <si>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</si>
  <si>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</si>
  <si>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</si>
  <si>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</si>
  <si>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</si>
  <si>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</si>
  <si>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</si>
  <si>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</si>
  <si>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</si>
  <si>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</si>
  <si>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</si>
  <si>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</si>
  <si>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</si>
  <si>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</si>
  <si>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</si>
  <si>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</si>
  <si>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</si>
  <si>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</si>
  <si>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</si>
  <si>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</si>
  <si>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</si>
  <si>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</si>
  <si>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</si>
  <si>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</si>
  <si>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</si>
  <si>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</si>
  <si>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</si>
  <si>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</si>
  <si>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</si>
  <si>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</si>
  <si>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</si>
  <si>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</si>
  <si>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</si>
  <si>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</si>
  <si>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</si>
  <si>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</si>
  <si>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</si>
  <si>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</si>
  <si>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</si>
  <si>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</si>
  <si>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</si>
  <si>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</si>
  <si>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</si>
  <si>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</si>
  <si>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</si>
  <si>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</si>
  <si>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</si>
  <si>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</si>
  <si>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</si>
  <si>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</si>
  <si>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</si>
  <si>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</si>
  <si>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</si>
  <si>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</si>
  <si>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</si>
  <si>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</si>
  <si>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</si>
  <si>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</si>
  <si>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</si>
  <si>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</si>
  <si>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</si>
  <si>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</si>
  <si>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</si>
  <si>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</si>
  <si>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</si>
  <si>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</si>
  <si>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</si>
  <si>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</si>
  <si>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</si>
  <si>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</si>
  <si>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</si>
  <si>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</si>
  <si>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</si>
  <si>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</si>
  <si>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</si>
  <si>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</si>
  <si>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</si>
  <si>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</si>
  <si>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</si>
  <si>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</si>
  <si>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</si>
  <si>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</si>
  <si>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</si>
  <si>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</si>
  <si>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</si>
  <si>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</si>
  <si>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</si>
  <si>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</si>
  <si>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</si>
  <si>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</si>
  <si>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</si>
  <si>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</si>
  <si>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</si>
  <si>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</si>
  <si>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</si>
  <si>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</si>
  <si>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</si>
  <si>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</si>
  <si>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</si>
  <si>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</si>
  <si>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</si>
  <si>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</si>
  <si>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</si>
  <si>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</si>
  <si>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</si>
  <si>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</si>
  <si>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</si>
  <si>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</si>
  <si>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</si>
  <si>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</si>
  <si>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</si>
  <si>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</si>
  <si>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</si>
  <si>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</si>
  <si>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</si>
  <si>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</si>
  <si>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</si>
  <si>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</si>
  <si>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</si>
  <si>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</si>
  <si>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</si>
  <si>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</si>
  <si>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</si>
  <si>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</si>
  <si>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</si>
  <si>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</si>
  <si>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</si>
  <si>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</si>
  <si>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</si>
  <si>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</si>
  <si>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</si>
  <si>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</si>
  <si>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</si>
  <si>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</si>
  <si>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</si>
  <si>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</si>
  <si>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</si>
  <si>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</si>
  <si>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</si>
  <si>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</si>
  <si>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</si>
  <si>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</si>
  <si>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</si>
  <si>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</si>
  <si>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</si>
  <si>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</si>
  <si>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</si>
  <si>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</si>
  <si>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</si>
  <si>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</si>
  <si>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</si>
  <si>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</si>
  <si>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</si>
  <si>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</si>
  <si>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</si>
  <si>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</si>
  <si>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</si>
  <si>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</si>
  <si>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</si>
  <si>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</si>
  <si>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</si>
  <si>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</si>
  <si>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</si>
  <si>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</si>
  <si>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</si>
  <si>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</si>
  <si>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</si>
  <si>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</si>
  <si>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</si>
  <si>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</si>
  <si>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</si>
  <si>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</si>
  <si>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</si>
  <si>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</si>
  <si>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</si>
  <si>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</si>
  <si>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</si>
  <si>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</si>
  <si>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</si>
  <si>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</si>
  <si>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</si>
  <si>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</si>
  <si>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</si>
  <si>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</si>
  <si>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</si>
  <si>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</si>
  <si>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</si>
  <si>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</si>
  <si>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</si>
  <si>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</si>
  <si>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</si>
  <si>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</si>
  <si>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</si>
  <si>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</si>
  <si>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</si>
  <si>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</si>
  <si>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</si>
  <si>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</si>
  <si>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</si>
  <si>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</si>
  <si>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</si>
  <si>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</si>
  <si>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</si>
  <si>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</si>
  <si>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</si>
  <si>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</si>
  <si>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</si>
  <si>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</si>
  <si>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</si>
  <si>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</si>
  <si>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</si>
  <si>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</si>
  <si>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</si>
  <si>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</si>
  <si>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</si>
  <si>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</si>
  <si>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</si>
  <si>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</si>
  <si>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</si>
  <si>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</si>
  <si>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</si>
  <si>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</si>
  <si>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</si>
  <si>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</si>
  <si>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</si>
  <si>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</si>
  <si>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</si>
  <si>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</si>
  <si>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</si>
  <si>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</si>
  <si>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</si>
  <si>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</si>
  <si>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</si>
  <si>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</si>
  <si>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</si>
  <si>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</si>
  <si>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</si>
  <si>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</si>
  <si>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</si>
  <si>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</si>
  <si>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</si>
  <si>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</si>
  <si>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</si>
  <si>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</si>
  <si>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</si>
  <si>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</si>
  <si>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</si>
  <si>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</si>
  <si>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</si>
  <si>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</si>
  <si>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</si>
  <si>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</si>
  <si>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</si>
  <si>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</si>
  <si>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</si>
  <si>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</si>
  <si>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</si>
  <si>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</si>
  <si>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</si>
  <si>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</si>
  <si>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</si>
  <si>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</si>
  <si>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</si>
  <si>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</si>
  <si>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</si>
  <si>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</si>
  <si>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</si>
  <si>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</si>
  <si>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</si>
  <si>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</si>
  <si>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</si>
  <si>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</si>
  <si>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</si>
  <si>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</si>
  <si>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</si>
  <si>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</si>
  <si>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</si>
  <si>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</si>
  <si>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</si>
  <si>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</si>
  <si>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</si>
  <si>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</si>
  <si>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</si>
  <si>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</si>
  <si>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</si>
  <si>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</si>
  <si>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</si>
  <si>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</si>
  <si>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</si>
  <si>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</si>
  <si>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</si>
  <si>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</si>
  <si>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</si>
  <si>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</si>
  <si>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</si>
  <si>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</si>
  <si>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</si>
  <si>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</si>
  <si>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</si>
  <si>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</si>
  <si>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</si>
  <si>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</si>
  <si>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</si>
  <si>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</si>
  <si>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</si>
  <si>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</si>
  <si>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</si>
  <si>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</si>
  <si>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</si>
  <si>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</si>
  <si>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</si>
  <si>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</si>
  <si>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</si>
  <si>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</si>
  <si>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</si>
  <si>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</si>
  <si>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</si>
  <si>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</si>
  <si>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</si>
  <si>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</si>
  <si>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</si>
  <si>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</si>
  <si>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</si>
  <si>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</si>
  <si>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</si>
  <si>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</si>
  <si>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</si>
  <si>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</si>
  <si>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</si>
  <si>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</si>
  <si>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</si>
  <si>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</si>
  <si>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</si>
  <si>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</si>
  <si>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</si>
  <si>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</si>
  <si>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</si>
  <si>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</si>
  <si>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</si>
  <si>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</si>
  <si>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</si>
  <si>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</si>
  <si>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</si>
  <si>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</si>
  <si>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</si>
  <si>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</si>
  <si>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</si>
  <si>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</si>
  <si>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</si>
  <si>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</si>
  <si>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</si>
  <si>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</si>
  <si>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</si>
  <si>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</si>
  <si>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</si>
  <si>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</si>
  <si>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</si>
  <si>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</si>
  <si>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</si>
  <si>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</si>
  <si>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</si>
  <si>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</si>
  <si>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</si>
  <si>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</si>
  <si>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</si>
  <si>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</si>
  <si>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</si>
  <si>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</si>
  <si>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</si>
  <si>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</si>
  <si>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</si>
  <si>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</si>
  <si>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</si>
  <si>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</si>
  <si>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</si>
  <si>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</si>
  <si>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</si>
  <si>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</si>
  <si>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</si>
  <si>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</si>
  <si>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</si>
  <si>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</si>
  <si>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</si>
  <si>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</si>
  <si>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</si>
  <si>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</si>
  <si>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</si>
  <si>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</si>
  <si>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</si>
  <si>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</si>
  <si>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</si>
  <si>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</si>
  <si>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</si>
  <si>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</si>
  <si>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</si>
  <si>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</si>
  <si>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</si>
  <si>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</si>
  <si>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</si>
  <si>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</si>
  <si>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</si>
  <si>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</si>
  <si>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</si>
  <si>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</si>
  <si>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</si>
  <si>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</si>
  <si>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</si>
  <si>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</si>
  <si>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</si>
  <si>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</si>
  <si>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</si>
  <si>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</si>
  <si>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</si>
  <si>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</si>
  <si>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</si>
  <si>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</si>
  <si>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</si>
  <si>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</si>
  <si>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</si>
  <si>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</si>
  <si>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</si>
  <si>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</si>
  <si>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</si>
  <si>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</si>
  <si>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</si>
  <si>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</si>
  <si>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</si>
  <si>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</si>
  <si>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</si>
  <si>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</si>
  <si>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</si>
  <si>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</si>
  <si>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</si>
  <si>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</si>
  <si>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</si>
  <si>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</si>
  <si>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</si>
  <si>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</si>
  <si>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</si>
  <si>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</si>
  <si>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</si>
  <si>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</si>
  <si>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</si>
  <si>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</si>
  <si>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</si>
  <si>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</si>
  <si>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</si>
  <si>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</si>
  <si>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</si>
  <si>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</si>
  <si>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</si>
  <si>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</si>
  <si>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</si>
  <si>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</si>
  <si>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</si>
  <si>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</si>
  <si>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</si>
  <si>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</si>
  <si>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</si>
  <si>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</si>
  <si>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</si>
  <si>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</si>
  <si>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</si>
  <si>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</si>
  <si>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</si>
  <si>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</si>
  <si>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</si>
  <si>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</si>
  <si>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</si>
  <si>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</si>
  <si>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</si>
  <si>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</si>
  <si>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</si>
  <si>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</si>
  <si>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</si>
  <si>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</si>
  <si>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</si>
  <si>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</si>
  <si>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</si>
  <si>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</si>
  <si>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</si>
  <si>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</si>
  <si>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</si>
  <si>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</si>
  <si>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</si>
  <si>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</si>
  <si>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</si>
  <si>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</si>
  <si>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</si>
  <si>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</si>
  <si>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</si>
  <si>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</si>
  <si>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</si>
  <si>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</si>
  <si>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</si>
  <si>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</si>
  <si>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</si>
  <si>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</si>
  <si>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</si>
  <si>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</si>
  <si>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</si>
  <si>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</si>
  <si>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</si>
  <si>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</si>
  <si>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</si>
  <si>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</si>
  <si>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</si>
  <si>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</si>
  <si>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</si>
  <si>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</si>
  <si>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</si>
  <si>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</si>
  <si>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</si>
  <si>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</si>
  <si>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</si>
  <si>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</si>
  <si>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</si>
  <si>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</si>
  <si>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</si>
  <si>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</si>
  <si>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</si>
  <si>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</si>
  <si>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</si>
  <si>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</si>
  <si>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</si>
  <si>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</si>
  <si>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</si>
  <si>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</si>
  <si>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</si>
  <si>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</si>
  <si>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</si>
  <si>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</si>
  <si>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</si>
  <si>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</si>
  <si>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</si>
  <si>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</si>
  <si>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</si>
  <si>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</si>
  <si>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</si>
  <si>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</si>
  <si>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</si>
  <si>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</si>
  <si>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</si>
  <si>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</si>
  <si>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</si>
  <si>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</si>
  <si>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</si>
  <si>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</si>
  <si>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</si>
  <si>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</si>
  <si>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</si>
  <si>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</si>
  <si>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</si>
  <si>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</si>
  <si>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</si>
  <si>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</si>
  <si>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</si>
  <si>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</si>
  <si>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</si>
  <si>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</si>
  <si>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</si>
  <si>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</si>
  <si>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</si>
  <si>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</si>
  <si>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</si>
  <si>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</si>
  <si>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</si>
  <si>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</si>
  <si>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</si>
  <si>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</si>
  <si>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</si>
  <si>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</si>
  <si>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</si>
  <si>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</si>
  <si>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</si>
  <si>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</si>
  <si>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</si>
  <si>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</si>
  <si>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</si>
  <si>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</si>
  <si>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</si>
  <si>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</si>
  <si>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</si>
  <si>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</si>
  <si>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</si>
  <si>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</si>
  <si>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</si>
  <si>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</si>
  <si>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</si>
  <si>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</si>
  <si>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</si>
  <si>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</si>
  <si>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</si>
  <si>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</si>
  <si>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</si>
  <si>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</si>
  <si>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</si>
  <si>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</si>
  <si>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</si>
  <si>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</si>
  <si>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</si>
  <si>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</si>
  <si>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</si>
  <si>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</si>
  <si>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</si>
  <si>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</si>
  <si>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</si>
  <si>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</si>
  <si>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</si>
  <si>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</si>
  <si>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</si>
  <si>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</si>
  <si>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</si>
  <si>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</si>
  <si>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</si>
  <si>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</si>
  <si>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</si>
  <si>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</si>
  <si>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</si>
  <si>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</si>
  <si>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</si>
  <si>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</si>
  <si>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</si>
  <si>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</si>
  <si>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</si>
  <si>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</si>
  <si>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</si>
  <si>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</si>
  <si>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</si>
  <si>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</si>
  <si>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</si>
  <si>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</si>
  <si>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</si>
  <si>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</si>
  <si>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</si>
  <si>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</si>
  <si>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</si>
  <si>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</si>
  <si>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</si>
  <si>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</si>
  <si>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</si>
  <si>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</si>
  <si>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</si>
  <si>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</si>
  <si>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</si>
  <si>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</si>
  <si>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</si>
  <si>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</si>
  <si>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</si>
  <si>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</si>
  <si>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</si>
  <si>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</si>
  <si>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</si>
  <si>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</si>
  <si>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</si>
  <si>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</si>
  <si>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</si>
  <si>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</si>
  <si>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</si>
  <si>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</si>
  <si>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</si>
  <si>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</si>
  <si>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</si>
  <si>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</si>
  <si>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</si>
  <si>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</si>
  <si>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</si>
  <si>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</si>
  <si>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</si>
  <si>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</si>
  <si>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</si>
  <si>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</si>
  <si>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</si>
  <si>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</si>
  <si>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</si>
  <si>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</si>
  <si>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</si>
  <si>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</si>
  <si>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</si>
  <si>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</si>
  <si>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</si>
  <si>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</si>
  <si>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</si>
  <si>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</si>
  <si>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</si>
  <si>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</si>
  <si>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</si>
  <si>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</si>
  <si>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</si>
  <si>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</si>
  <si>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</si>
  <si>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</si>
  <si>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</si>
  <si>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</si>
  <si>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</si>
  <si>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</si>
  <si>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</si>
  <si>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</si>
  <si>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</si>
  <si>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</si>
  <si>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</si>
  <si>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</si>
  <si>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</si>
  <si>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</si>
  <si>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</si>
  <si>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</si>
  <si>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</si>
  <si>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</si>
  <si>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</si>
  <si>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</si>
  <si>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</si>
  <si>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</si>
  <si>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</si>
  <si>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</si>
  <si>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</si>
  <si>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</si>
  <si>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</si>
  <si>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</si>
  <si>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</si>
  <si>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</si>
  <si>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</si>
  <si>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</si>
  <si>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</si>
  <si>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</si>
  <si>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</si>
  <si>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</si>
  <si>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</si>
  <si>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</si>
  <si>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</si>
  <si>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</si>
  <si>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</si>
  <si>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</si>
  <si>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</si>
  <si>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</si>
  <si>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</si>
  <si>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</si>
  <si>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</si>
  <si>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</si>
  <si>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</si>
  <si>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</si>
  <si>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</si>
  <si>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</si>
  <si>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</si>
  <si>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</si>
  <si>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</si>
  <si>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</si>
  <si>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</si>
  <si>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</si>
  <si>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</si>
  <si>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</si>
  <si>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</si>
  <si>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</si>
  <si>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</si>
  <si>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</si>
  <si>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</si>
  <si>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</si>
  <si>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</si>
  <si>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</si>
  <si>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</si>
  <si>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</si>
  <si>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</si>
  <si>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</si>
  <si>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</si>
  <si>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</si>
  <si>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</si>
  <si>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</si>
  <si>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</si>
  <si>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</si>
  <si>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</si>
  <si>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</si>
  <si>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</si>
  <si>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</si>
  <si>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</si>
  <si>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</si>
  <si>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</si>
  <si>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</si>
  <si>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</si>
  <si>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</si>
  <si>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</si>
  <si>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</si>
  <si>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</si>
  <si>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</si>
  <si>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</si>
  <si>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</si>
  <si>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</si>
  <si>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</si>
  <si>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</si>
  <si>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</si>
  <si>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</si>
  <si>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</si>
  <si>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</si>
  <si>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</si>
  <si>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</si>
  <si>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</si>
  <si>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</si>
  <si>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</si>
  <si>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</si>
  <si>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</si>
  <si>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</si>
  <si>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</si>
  <si>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</si>
  <si>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</si>
  <si>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</si>
  <si>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</si>
  <si>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</si>
  <si>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</si>
  <si>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</si>
  <si>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</si>
  <si>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</si>
  <si>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</si>
  <si>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</si>
  <si>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</si>
  <si>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</si>
  <si>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</si>
  <si>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</si>
  <si>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</si>
  <si>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</si>
  <si>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</si>
  <si>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</si>
  <si>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</si>
  <si>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</si>
  <si>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</si>
  <si>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</si>
  <si>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</si>
  <si>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</si>
  <si>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</si>
  <si>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</si>
  <si>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</si>
  <si>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</si>
  <si>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</si>
  <si>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</si>
  <si>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</si>
  <si>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</si>
  <si>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</si>
  <si>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</si>
  <si>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</si>
  <si>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</si>
  <si>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</si>
  <si>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</si>
  <si>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</si>
  <si>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</si>
  <si>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</si>
  <si>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Z3_OLBV_T3_ZIs3</t>
  </si>
  <si>
    <t>suupression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</si>
</sst>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71.954999999999998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190.61672709137741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0.83194969565217392</v>
      </c>
      <c r="H5" s="143">
        <f>CdTrp1!C215+CdTrp2!C215+CdTrp3!C215+CdTrp4!C215</f>
        <v>0.83194969565217392</v>
      </c>
      <c r="I5" s="143">
        <f>CdTrp1!D215+CdTrp2!D215+CdTrp3!D215+CdTrp4!D215</f>
        <v>0.75143843478260874</v>
      </c>
      <c r="J5" s="143">
        <f>CdTrp1!E215+CdTrp2!E215+CdTrp3!E215+CdTrp4!E215</f>
        <v>0.75143843478260874</v>
      </c>
      <c r="K5" s="143">
        <f>CdTrp1!F215+CdTrp2!F215+CdTrp3!F215+CdTrp4!F215</f>
        <v>0.83194969565217392</v>
      </c>
      <c r="L5" s="143">
        <f>CdTrp1!G215+CdTrp2!G215+CdTrp3!G215+CdTrp4!G215</f>
        <v>6.0942336136956534</v>
      </c>
      <c r="M5" s="143">
        <f>CdTrp1!H215+CdTrp2!H215+CdTrp3!H215+CdTrp4!H215</f>
        <v>8.469587152173915</v>
      </c>
      <c r="N5" s="143">
        <f>CdTrp1!I215+CdTrp2!I215+CdTrp3!I215+CdTrp4!I215</f>
        <v>5.8448730717391326</v>
      </c>
      <c r="O5" s="143">
        <f>CdTrp1!J215+CdTrp2!J215+CdTrp3!J215+CdTrp4!J215</f>
        <v>7.0158149423478262</v>
      </c>
      <c r="P5" s="143">
        <f>CdTrp1!K215+CdTrp2!K215+CdTrp3!K215+CdTrp4!K215</f>
        <v>6.3753888240000016</v>
      </c>
      <c r="Q5" s="143">
        <f>CdTrp1!L215+CdTrp2!L215+CdTrp3!L215+CdTrp4!L215</f>
        <v>6.8032308795652181</v>
      </c>
      <c r="R5" s="143">
        <f>CdTrp1!M215+CdTrp2!M215+CdTrp3!M215+CdTrp4!M215</f>
        <v>6.8032308795652181</v>
      </c>
      <c r="S5" s="143">
        <f>CdTrp1!N215+CdTrp2!N215+CdTrp3!N215+CdTrp4!N215</f>
        <v>7.0300052422173929</v>
      </c>
      <c r="T5" s="143">
        <f>CdTrp1!O215+CdTrp2!O215+CdTrp3!O215+CdTrp4!O215</f>
        <v>7.0300052422173929</v>
      </c>
      <c r="U5" s="143">
        <f>CdTrp1!P215+CdTrp2!P215+CdTrp3!P215+CdTrp4!P215</f>
        <v>7.0300052422173929</v>
      </c>
      <c r="V5" s="143">
        <f>CdTrp1!Q215+CdTrp2!Q215+CdTrp3!Q215+CdTrp4!Q215</f>
        <v>7.0300052422173929</v>
      </c>
      <c r="W5" s="143">
        <f>CdTrp1!R215+CdTrp2!R215+CdTrp3!R215+CdTrp4!R215</f>
        <v>7.6087206391304365</v>
      </c>
      <c r="X5" s="143">
        <f>CdTrp1!S215+CdTrp2!S215+CdTrp3!S215+CdTrp4!S215</f>
        <v>7.6087206391304365</v>
      </c>
      <c r="Y5" s="143">
        <f>CdTrp1!T215+CdTrp2!T215+CdTrp3!T215+CdTrp4!T215</f>
        <v>3.8575708363043479</v>
      </c>
      <c r="Z5" s="143">
        <f>CdTrp1!U215+CdTrp2!U215+CdTrp3!U215+CdTrp4!U215</f>
        <v>6.0615133630434794</v>
      </c>
      <c r="AA5" s="143">
        <f>CdTrp1!V215+CdTrp2!V215+CdTrp3!V215+CdTrp4!V215</f>
        <v>0.86244260869565215</v>
      </c>
      <c r="AB5" s="143">
        <f>CdTrp1!W215+CdTrp2!W215+CdTrp3!W215+CdTrp4!W215</f>
        <v>0.83377760869565221</v>
      </c>
      <c r="AC5" s="143">
        <f>CdTrp1!X215+CdTrp2!X215+CdTrp3!X215+CdTrp4!X215</f>
        <v>0.83194969565217392</v>
      </c>
      <c r="AD5" s="143">
        <f>CdTrp1!Y215+CdTrp2!Y215+CdTrp3!Y215+CdTrp4!Y215</f>
        <v>0.83194969565217392</v>
      </c>
      <c r="AE5" s="153"/>
      <c r="AF5" s="144">
        <f>AF8+AF9</f>
        <v>168.25777211478263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1.4217839999999997</v>
      </c>
      <c r="L6" s="143">
        <f>CdTrp1!G216+CdTrp2!G216+CdTrp3!G216+CdTrp4!G216</f>
        <v>1.4810249999999998</v>
      </c>
      <c r="M6" s="143">
        <f>CdTrp1!H216+CdTrp2!H216+CdTrp3!H216+CdTrp4!H216</f>
        <v>1.4905799999999998</v>
      </c>
      <c r="N6" s="143">
        <f>CdTrp1!I216+CdTrp2!I216+CdTrp3!I216+CdTrp4!I216</f>
        <v>4.0934501999999995</v>
      </c>
      <c r="O6" s="143">
        <f>CdTrp1!J216+CdTrp2!J216+CdTrp3!J216+CdTrp4!J216</f>
        <v>4.1753512500000003</v>
      </c>
      <c r="P6" s="143">
        <f>CdTrp1!K216+CdTrp2!K216+CdTrp3!K216+CdTrp4!K216</f>
        <v>4.1753512500000003</v>
      </c>
      <c r="Q6" s="143">
        <f>CdTrp1!L216+CdTrp2!L216+CdTrp3!L216+CdTrp4!L216</f>
        <v>1.5479099999999999</v>
      </c>
      <c r="R6" s="143">
        <f>CdTrp1!M216+CdTrp2!M216+CdTrp3!M216+CdTrp4!M216</f>
        <v>1.5479099999999999</v>
      </c>
      <c r="S6" s="143">
        <f>CdTrp1!N216+CdTrp2!N216+CdTrp3!N216+CdTrp4!N216</f>
        <v>1.5995069999999996</v>
      </c>
      <c r="T6" s="143">
        <f>CdTrp1!O216+CdTrp2!O216+CdTrp3!O216+CdTrp4!O216</f>
        <v>1.5995069999999996</v>
      </c>
      <c r="U6" s="143">
        <f>CdTrp1!P216+CdTrp2!P216+CdTrp3!P216+CdTrp4!P216</f>
        <v>1.5995069999999996</v>
      </c>
      <c r="V6" s="143">
        <f>CdTrp1!Q216+CdTrp2!Q216+CdTrp3!Q216+CdTrp4!Q216</f>
        <v>1.5995069999999996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2.8555984799999998</v>
      </c>
      <c r="Z6" s="143">
        <f>CdTrp1!U216+CdTrp2!U216+CdTrp3!U216+CdTrp4!U216</f>
        <v>2.8949709599999998</v>
      </c>
      <c r="AA6" s="143">
        <f>CdTrp1!V216+CdTrp2!V216+CdTrp3!V216+CdTrp4!V216</f>
        <v>2.9210075999999994</v>
      </c>
      <c r="AB6" s="143">
        <f>CdTrp1!W216+CdTrp2!W216+CdTrp3!W216+CdTrp4!W216</f>
        <v>2.9511719999999997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177.4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7.5752586136956532</v>
      </c>
      <c r="M8" s="143">
        <f t="shared" si="0"/>
        <v>9.9601671521739146</v>
      </c>
      <c r="N8" s="143">
        <f t="shared" si="0"/>
        <v>9.938323271739133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8.351140879565218</v>
      </c>
      <c r="R8" s="143">
        <f t="shared" si="0"/>
        <v>8.351140879565218</v>
      </c>
      <c r="S8" s="143">
        <f t="shared" si="0"/>
        <v>8.6295122422173929</v>
      </c>
      <c r="T8" s="143">
        <f t="shared" si="0"/>
        <v>8.6295122422173929</v>
      </c>
      <c r="U8" s="143">
        <f t="shared" si="0"/>
        <v>8.6295122422173929</v>
      </c>
      <c r="V8" s="143">
        <f t="shared" si="0"/>
        <v>8.6295122422173929</v>
      </c>
      <c r="W8" s="143">
        <f t="shared" si="0"/>
        <v>8.9846406391304363</v>
      </c>
      <c r="X8" s="143">
        <f t="shared" si="0"/>
        <v>8.9846406391304363</v>
      </c>
      <c r="Y8" s="143">
        <f t="shared" si="0"/>
        <v>6.7131693163043478</v>
      </c>
      <c r="Z8" s="143">
        <f t="shared" si="0"/>
        <v>8.9564843230434796</v>
      </c>
      <c r="AA8" s="143">
        <f t="shared" si="0"/>
        <v>3.7834502086956516</v>
      </c>
      <c r="AB8" s="143">
        <f t="shared" si="0"/>
        <v>3.7849496086956518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148.72773011478262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2.4927524999999999</v>
      </c>
      <c r="S9" s="143">
        <f>CdTrp1!N218+CdTrp2!N218+CdTrp3!N218+CdTrp4!N218</f>
        <v>2.5758442500000003</v>
      </c>
      <c r="T9" s="143">
        <f>CdTrp1!O218+CdTrp2!O218+CdTrp3!O218+CdTrp4!O218</f>
        <v>2.5758442500000003</v>
      </c>
      <c r="U9" s="143">
        <f>CdTrp1!P218+CdTrp2!P218+CdTrp3!P218+CdTrp4!P218</f>
        <v>2.5758442500000003</v>
      </c>
      <c r="V9" s="143">
        <f>CdTrp1!Q218+CdTrp2!Q218+CdTrp3!Q218+CdTrp4!Q218</f>
        <v>2.5758442500000003</v>
      </c>
      <c r="W9" s="143">
        <f>CdTrp1!R218+CdTrp2!R218+CdTrp3!R218+CdTrp4!R218</f>
        <v>2.1205799999999999</v>
      </c>
      <c r="X9" s="143">
        <f>CdTrp1!S218+CdTrp2!S218+CdTrp3!S218+CdTrp4!S218</f>
        <v>2.1205799999999999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19.530042000000002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</v>
      </c>
      <c r="H18" s="158">
        <f>G18/G17</f>
        <v>0.49484536082474229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20.5</v>
      </c>
      <c r="H19" s="158">
        <f>G19/G17</f>
        <v>0.42268041237113402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4</v>
      </c>
      <c r="H21" s="158">
        <f>G21/G17</f>
        <v>8.247422680412371E-2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B27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7.5752586136956532</v>
      </c>
      <c r="AY5" s="13">
        <f>'Conduite Trp'!M8</f>
        <v>9.9601671521739146</v>
      </c>
      <c r="AZ5" s="13">
        <f>'Conduite Trp'!N8</f>
        <v>9.938323271739133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8.351140879565218</v>
      </c>
      <c r="BD5" s="13">
        <f>'Conduite Trp'!R8</f>
        <v>8.351140879565218</v>
      </c>
      <c r="BE5" s="13">
        <f>'Conduite Trp'!S8</f>
        <v>8.6295122422173929</v>
      </c>
      <c r="BF5" s="13">
        <f>'Conduite Trp'!T8</f>
        <v>8.6295122422173929</v>
      </c>
      <c r="BG5" s="13">
        <f>'Conduite Trp'!U8</f>
        <v>8.6295122422173929</v>
      </c>
      <c r="BH5" s="13">
        <f>'Conduite Trp'!V8</f>
        <v>8.6295122422173929</v>
      </c>
      <c r="BI5" s="13">
        <f>'Conduite Trp'!W8</f>
        <v>8.9846406391304363</v>
      </c>
      <c r="BJ5" s="13">
        <f>'Conduite Trp'!X8</f>
        <v>8.9846406391304363</v>
      </c>
      <c r="BK5" s="13">
        <f>'Conduite Trp'!Y8</f>
        <v>6.7131693163043478</v>
      </c>
      <c r="BL5" s="13">
        <f>'Conduite Trp'!Z8</f>
        <v>8.9564843230434796</v>
      </c>
      <c r="BM5" s="13">
        <f>'Conduite Trp'!AA8</f>
        <v>3.7834502086956516</v>
      </c>
      <c r="BN5" s="13">
        <f>'Conduite Trp'!AB8</f>
        <v>3.7849496086956518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324</v>
      </c>
      <c r="R7" s="39">
        <v>3.5</v>
      </c>
      <c r="S7" s="290" t="str">
        <f>VLOOKUP($Q7,[1]MEP!$A$5:$D$300,3)</f>
        <v>PP BONNE pâturage étalé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2.5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12.25</v>
      </c>
      <c r="AF7" s="61">
        <f t="shared" ref="AF7:AF26" si="1">$R7*W7</f>
        <v>8.75</v>
      </c>
      <c r="AG7" s="61">
        <f t="shared" ref="AG7:AG26" si="2">$R7*X7</f>
        <v>8.75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9.9601671521739146</v>
      </c>
      <c r="AZ7" s="61">
        <f t="shared" si="7"/>
        <v>9.938323271739133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8.351140879565218</v>
      </c>
      <c r="BD7" s="61">
        <f t="shared" si="7"/>
        <v>8.351140879565218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58.342678449391315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71.954999999999998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8.6295122422173929</v>
      </c>
      <c r="BF8" s="61">
        <f t="shared" si="8"/>
        <v>8.6295122422173929</v>
      </c>
      <c r="BG8" s="61">
        <f t="shared" si="8"/>
        <v>8.6295122422173929</v>
      </c>
      <c r="BH8" s="61">
        <f t="shared" si="8"/>
        <v>8.6295122422173929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34.518048968869572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71.954999999999998</v>
      </c>
      <c r="G9" s="81"/>
      <c r="H9" s="61">
        <f>SUM(L34:L43)</f>
        <v>9</v>
      </c>
      <c r="I9" s="81"/>
      <c r="J9" s="81"/>
      <c r="K9" s="93">
        <f>H9-F9</f>
        <v>-62.954999999999998</v>
      </c>
      <c r="L9" s="81"/>
      <c r="M9" s="100"/>
      <c r="P9">
        <v>3</v>
      </c>
      <c r="Q9" s="39">
        <v>228</v>
      </c>
      <c r="R9" s="39">
        <v>11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17.600000000000001</v>
      </c>
      <c r="AF9" s="61">
        <f t="shared" si="1"/>
        <v>15.399999999999999</v>
      </c>
      <c r="AG9" s="61">
        <f t="shared" si="2"/>
        <v>13.2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7.5752586136956532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8.9846406391304363</v>
      </c>
      <c r="BJ9" s="61">
        <f t="shared" si="10"/>
        <v>8.9846406391304363</v>
      </c>
      <c r="BK9" s="61">
        <f t="shared" si="10"/>
        <v>6.7131693163043478</v>
      </c>
      <c r="BL9" s="61">
        <f t="shared" si="10"/>
        <v>8.9564843230434796</v>
      </c>
      <c r="BM9" s="61">
        <f t="shared" si="10"/>
        <v>3.7834502086956516</v>
      </c>
      <c r="BN9" s="61">
        <f t="shared" si="10"/>
        <v>3.7849496086956518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55.867002696521737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129</v>
      </c>
      <c r="R14" s="39"/>
      <c r="S14" s="290" t="str">
        <f>VLOOKUP($Q14,[1]MEP!$A$5:$D$300,3)</f>
        <v>PP bonne 1 coupe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1.07</v>
      </c>
      <c r="W14" s="76">
        <f>VLOOKUP($Q14,[1]MEP!$A$4:$K$300,6)</f>
        <v>1.498</v>
      </c>
      <c r="X14" s="76">
        <f>VLOOKUP($Q14,[1]MEP!$A$4:$K$300,7)</f>
        <v>2.3540000000000005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3.6379999999999999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303</v>
      </c>
      <c r="R15" s="39">
        <v>1</v>
      </c>
      <c r="S15" s="290" t="str">
        <f>VLOOKUP($Q15,[1]MEP!$A$5:$D$300,3)</f>
        <v>PP EXCELLENTE PATUREE ovn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3.5</v>
      </c>
      <c r="X15" s="76">
        <f>VLOOKUP($Q15,[1]MEP!$A$4:$K$300,7)</f>
        <v>3.5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3.5</v>
      </c>
      <c r="AF15" s="61">
        <f t="shared" si="1"/>
        <v>3.5</v>
      </c>
      <c r="AG15" s="61">
        <f t="shared" si="2"/>
        <v>3.5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0.83194969565217392</v>
      </c>
      <c r="AT15" s="13">
        <f>'Conduite Trp'!H5</f>
        <v>0.83194969565217392</v>
      </c>
      <c r="AU15" s="13">
        <f>'Conduite Trp'!I5</f>
        <v>0.75143843478260874</v>
      </c>
      <c r="AV15" s="13">
        <f>'Conduite Trp'!J5</f>
        <v>0.75143843478260874</v>
      </c>
      <c r="AW15" s="13">
        <f>'Conduite Trp'!K5</f>
        <v>0.83194969565217392</v>
      </c>
      <c r="AX15" s="13">
        <f>'Conduite Trp'!L5</f>
        <v>6.0942336136956534</v>
      </c>
      <c r="AY15" s="13">
        <f>'Conduite Trp'!M5</f>
        <v>8.469587152173915</v>
      </c>
      <c r="AZ15" s="13">
        <f>'Conduite Trp'!N5</f>
        <v>5.8448730717391326</v>
      </c>
      <c r="BA15" s="13">
        <f>'Conduite Trp'!O5</f>
        <v>7.0158149423478262</v>
      </c>
      <c r="BB15" s="13">
        <f>'Conduite Trp'!P5</f>
        <v>6.3753888240000016</v>
      </c>
      <c r="BC15" s="13">
        <f>'Conduite Trp'!Q5</f>
        <v>6.8032308795652181</v>
      </c>
      <c r="BD15" s="13">
        <f>'Conduite Trp'!R5</f>
        <v>6.8032308795652181</v>
      </c>
      <c r="BE15" s="13">
        <f>'Conduite Trp'!S5</f>
        <v>7.0300052422173929</v>
      </c>
      <c r="BF15" s="13">
        <f>'Conduite Trp'!T5</f>
        <v>7.0300052422173929</v>
      </c>
      <c r="BG15" s="13">
        <f>'Conduite Trp'!U5</f>
        <v>7.0300052422173929</v>
      </c>
      <c r="BH15" s="13">
        <f>'Conduite Trp'!V5</f>
        <v>7.0300052422173929</v>
      </c>
      <c r="BI15" s="13">
        <f>'Conduite Trp'!W5</f>
        <v>7.6087206391304365</v>
      </c>
      <c r="BJ15" s="13">
        <f>'Conduite Trp'!X5</f>
        <v>7.6087206391304365</v>
      </c>
      <c r="BK15" s="13">
        <f>'Conduite Trp'!Y5</f>
        <v>3.8575708363043479</v>
      </c>
      <c r="BL15" s="13">
        <f>'Conduite Trp'!Z5</f>
        <v>6.0615133630434794</v>
      </c>
      <c r="BM15" s="13">
        <f>'Conduite Trp'!AA5</f>
        <v>0.86244260869565215</v>
      </c>
      <c r="BN15" s="13">
        <f>'Conduite Trp'!AB5</f>
        <v>0.83377760869565221</v>
      </c>
      <c r="BO15" s="13">
        <f>'Conduite Trp'!AC5</f>
        <v>0.83194969565217392</v>
      </c>
      <c r="BP15" s="13">
        <f>'Conduite Trp'!AD5</f>
        <v>0.83194969565217392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1.4217839999999997</v>
      </c>
      <c r="AX16" s="13">
        <f>'Conduite Trp'!L6</f>
        <v>1.4810249999999998</v>
      </c>
      <c r="AY16" s="13">
        <f>'Conduite Trp'!M6</f>
        <v>1.4905799999999998</v>
      </c>
      <c r="AZ16" s="13">
        <f>'Conduite Trp'!N6</f>
        <v>4.0934501999999995</v>
      </c>
      <c r="BA16" s="13">
        <f>'Conduite Trp'!O6</f>
        <v>4.1753512500000003</v>
      </c>
      <c r="BB16" s="13">
        <f>'Conduite Trp'!P6</f>
        <v>4.1753512500000003</v>
      </c>
      <c r="BC16" s="13">
        <f>'Conduite Trp'!Q6</f>
        <v>1.5479099999999999</v>
      </c>
      <c r="BD16" s="13">
        <f>'Conduite Trp'!R6</f>
        <v>1.5479099999999999</v>
      </c>
      <c r="BE16" s="13">
        <f>'Conduite Trp'!S6</f>
        <v>1.5995069999999996</v>
      </c>
      <c r="BF16" s="13">
        <f>'Conduite Trp'!T6</f>
        <v>1.5995069999999996</v>
      </c>
      <c r="BG16" s="13">
        <f>'Conduite Trp'!U6</f>
        <v>1.5995069999999996</v>
      </c>
      <c r="BH16" s="13">
        <f>'Conduite Trp'!V6</f>
        <v>1.5995069999999996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2.8555984799999998</v>
      </c>
      <c r="BL16" s="13">
        <f>'Conduite Trp'!Z6</f>
        <v>2.8949709599999998</v>
      </c>
      <c r="BM16" s="13">
        <f>'Conduite Trp'!AA6</f>
        <v>2.9210075999999994</v>
      </c>
      <c r="BN16" s="13">
        <f>'Conduite Trp'!AB6</f>
        <v>2.9511719999999997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8.469587152173915</v>
      </c>
      <c r="AZ19" s="61">
        <f t="shared" si="15"/>
        <v>5.8448730717391326</v>
      </c>
      <c r="BA19" s="61">
        <f t="shared" si="15"/>
        <v>7.0158149423478262</v>
      </c>
      <c r="BB19" s="61">
        <f t="shared" si="15"/>
        <v>6.3753888240000016</v>
      </c>
      <c r="BC19" s="61">
        <f t="shared" si="15"/>
        <v>6.8032308795652181</v>
      </c>
      <c r="BD19" s="61">
        <f t="shared" si="15"/>
        <v>6.8032308795652181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41.312125749391313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7.0300052422173929</v>
      </c>
      <c r="BF20" s="61">
        <f t="shared" si="16"/>
        <v>7.0300052422173929</v>
      </c>
      <c r="BG20" s="61">
        <f t="shared" si="16"/>
        <v>7.0300052422173929</v>
      </c>
      <c r="BH20" s="61">
        <f t="shared" si="16"/>
        <v>7.0300052422173929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28.120020968869571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0.83194969565217392</v>
      </c>
      <c r="AT21" s="61">
        <f t="shared" ref="AT21:BP21" si="18">IF(AT$4=3,AT$15,0)</f>
        <v>0.83194969565217392</v>
      </c>
      <c r="AU21" s="61">
        <f t="shared" si="18"/>
        <v>0.75143843478260874</v>
      </c>
      <c r="AV21" s="61">
        <f t="shared" si="18"/>
        <v>0.75143843478260874</v>
      </c>
      <c r="AW21" s="61">
        <f t="shared" si="18"/>
        <v>0.83194969565217392</v>
      </c>
      <c r="AX21" s="61">
        <f t="shared" si="18"/>
        <v>6.0942336136956534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7.6087206391304365</v>
      </c>
      <c r="BJ21" s="61">
        <f t="shared" si="18"/>
        <v>7.6087206391304365</v>
      </c>
      <c r="BK21" s="61">
        <f t="shared" si="18"/>
        <v>3.8575708363043479</v>
      </c>
      <c r="BL21" s="61">
        <f t="shared" si="18"/>
        <v>6.0615133630434794</v>
      </c>
      <c r="BM21" s="61">
        <f t="shared" si="18"/>
        <v>0.86244260869565215</v>
      </c>
      <c r="BN21" s="61">
        <f t="shared" si="18"/>
        <v>0.83377760869565221</v>
      </c>
      <c r="BO21" s="61">
        <f t="shared" si="18"/>
        <v>0.83194969565217392</v>
      </c>
      <c r="BP21" s="61">
        <f t="shared" si="18"/>
        <v>0.83194969565217392</v>
      </c>
      <c r="BR21" s="61">
        <f t="shared" si="17"/>
        <v>38.589604656521743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58.5762</v>
      </c>
      <c r="E24" s="61">
        <f t="shared" si="21"/>
        <v>33.994999999999997</v>
      </c>
      <c r="F24" s="61">
        <f t="shared" si="21"/>
        <v>64.364000000000004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93.535160000000005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58.342678449391315</v>
      </c>
      <c r="E25" s="61">
        <f>BR8</f>
        <v>34.518048968869572</v>
      </c>
      <c r="F25" s="61">
        <f>BR9</f>
        <v>55.867002696521737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177.4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0.2335215506086854</v>
      </c>
      <c r="E27" s="93">
        <f t="shared" si="23"/>
        <v>-0.52304896886957408</v>
      </c>
      <c r="F27" s="93">
        <f t="shared" si="23"/>
        <v>8.4969973034782669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-83.864840000000001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41.53</v>
      </c>
      <c r="AF27" s="75">
        <f t="shared" ref="AF27:AJ27" si="24">SUM(AF7:AF26)</f>
        <v>27.65</v>
      </c>
      <c r="AG27" s="75">
        <f t="shared" si="24"/>
        <v>40.393999999999998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46.468000000000004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1.4905799999999998</v>
      </c>
      <c r="AZ27" s="61">
        <f t="shared" si="25"/>
        <v>4.0934501999999995</v>
      </c>
      <c r="BA27" s="61">
        <f t="shared" si="25"/>
        <v>4.1753512500000003</v>
      </c>
      <c r="BB27" s="61">
        <f t="shared" si="25"/>
        <v>4.1753512500000003</v>
      </c>
      <c r="BC27" s="61">
        <f t="shared" si="25"/>
        <v>1.5479099999999999</v>
      </c>
      <c r="BD27" s="61">
        <f t="shared" si="25"/>
        <v>1.5479099999999999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17.030552700000001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1.5995069999999996</v>
      </c>
      <c r="BF28" s="61">
        <f t="shared" si="26"/>
        <v>1.5995069999999996</v>
      </c>
      <c r="BG28" s="61">
        <f t="shared" si="26"/>
        <v>1.5995069999999996</v>
      </c>
      <c r="BH28" s="61">
        <f t="shared" si="26"/>
        <v>1.5995069999999996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6.3980279999999983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1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3.5</v>
      </c>
      <c r="AF29" s="61">
        <f t="shared" ref="AF29:AF48" si="29">$R29*W29</f>
        <v>2.6</v>
      </c>
      <c r="AG29" s="61">
        <f t="shared" ref="AG29:AG48" si="30">$R29*X29</f>
        <v>1.5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1.4217839999999997</v>
      </c>
      <c r="AX29" s="61">
        <f t="shared" si="35"/>
        <v>1.4810249999999998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2.8555984799999998</v>
      </c>
      <c r="BL29" s="61">
        <f t="shared" si="35"/>
        <v>2.8949709599999998</v>
      </c>
      <c r="BM29" s="61">
        <f t="shared" si="35"/>
        <v>2.9210075999999994</v>
      </c>
      <c r="BN29" s="61">
        <f t="shared" si="35"/>
        <v>2.9511719999999997</v>
      </c>
      <c r="BO29" s="61">
        <f t="shared" si="35"/>
        <v>0</v>
      </c>
      <c r="BP29" s="61">
        <f t="shared" si="35"/>
        <v>0</v>
      </c>
      <c r="BR29" s="61">
        <f t="shared" si="27"/>
        <v>17.277398039999998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2.5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2.6750000000000003</v>
      </c>
      <c r="AF31" s="61">
        <f t="shared" si="29"/>
        <v>3.7450000000000001</v>
      </c>
      <c r="AG31" s="61">
        <f t="shared" si="30"/>
        <v>5.8850000000000016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9.0949999999999989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17.046200000000002</v>
      </c>
      <c r="AF49" s="75">
        <f t="shared" ref="AF49" si="50">SUM(AF29:AF48)</f>
        <v>6.3450000000000006</v>
      </c>
      <c r="AG49" s="75">
        <f t="shared" ref="AG49" si="51">SUM(AG29:AG48)</f>
        <v>23.970000000000002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47.067160000000001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41.53</v>
      </c>
      <c r="E72" s="61">
        <f t="shared" ref="E72:H72" si="69">AF27</f>
        <v>27.65</v>
      </c>
      <c r="F72" s="61">
        <f t="shared" si="69"/>
        <v>40.393999999999998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93.535160000000005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41.312125749391313</v>
      </c>
      <c r="E73" s="61">
        <f>BR20</f>
        <v>28.120020968869571</v>
      </c>
      <c r="F73" s="61">
        <f>BR21</f>
        <v>38.589604656521743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177.4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0.2178742506086877</v>
      </c>
      <c r="E75" s="93">
        <f t="shared" ref="E75:I75" si="71">E72-E73</f>
        <v>-0.4700209688695729</v>
      </c>
      <c r="F75" s="93">
        <f t="shared" si="71"/>
        <v>1.8043953434782551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-83.864840000000001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17.046200000000002</v>
      </c>
      <c r="E82" s="61">
        <f t="shared" ref="E82:H82" si="72">AF49</f>
        <v>6.3450000000000006</v>
      </c>
      <c r="F82" s="61">
        <f t="shared" si="72"/>
        <v>23.970000000000002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17.030552700000001</v>
      </c>
      <c r="E83" s="61">
        <f>BR28</f>
        <v>6.3980279999999983</v>
      </c>
      <c r="F83" s="61">
        <f>BR29</f>
        <v>17.277398039999998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1.5647300000001252E-2</v>
      </c>
      <c r="E85" s="93">
        <f t="shared" ref="E85:H85" si="73">E82-E83</f>
        <v>-5.3027999999997633E-2</v>
      </c>
      <c r="F85" s="93">
        <f t="shared" si="73"/>
        <v>6.6926019600000046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</v>
      </c>
      <c r="L3" s="8">
        <f t="shared" ref="L3:L32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2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IF(I5=$Y$11,SQRT(L5*10000),SQRT(Parcellaire!L5*10000)/$AC$12)</f>
        <v>0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</v>
      </c>
      <c r="L8" s="8">
        <f t="shared" si="8"/>
        <v>0</v>
      </c>
      <c r="M8" s="10">
        <f>IF(I8=$Y$11,SQRT(L8*10000),SQRT(Parcellaire!L8*10000)/$AC$12)</f>
        <v>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0</v>
      </c>
      <c r="U8" s="10">
        <f t="shared" ref="U8:U9" si="13">IF(C8=2,Q8*M8,0)</f>
        <v>0</v>
      </c>
      <c r="V8" s="27">
        <f t="shared" ref="V8:V9" si="14">O8*M8</f>
        <v>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</v>
      </c>
      <c r="L9" s="8">
        <f t="shared" si="8"/>
        <v>0</v>
      </c>
      <c r="M9" s="10">
        <f>IF(I9=$Y$11,SQRT(L9*10000),SQRT(Parcellaire!L9*10000)/$AC$12)</f>
        <v>0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0</v>
      </c>
      <c r="U9" s="10">
        <f t="shared" si="13"/>
        <v>0</v>
      </c>
      <c r="V9" s="27">
        <f t="shared" si="14"/>
        <v>0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5292.9818655249192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5292.9818655249192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22.5</v>
      </c>
      <c r="H66" s="170"/>
      <c r="I66" s="170">
        <f>SUMIF(Parcellaire!$B$2:$B$65,1,Parcellaire!I2:I65)</f>
        <v>40</v>
      </c>
      <c r="J66" s="170">
        <f>SUMIF(Parcellaire!$B$2:$B$65,1,Parcellaire!J2:J65)</f>
        <v>8</v>
      </c>
      <c r="K66" s="170">
        <f>SUMIF(Parcellaire!$B$2:$B$65,1,Parcellaire!K2:K65)</f>
        <v>23.95</v>
      </c>
      <c r="L66" s="170">
        <f>SUMIF(Parcellaire!$B$2:$B$65,1,Parcellaire!L2:L65)</f>
        <v>25.858000000000004</v>
      </c>
      <c r="M66" s="170">
        <f>SUMIF(Parcellaire!$B$2:$B$65,1,Parcellaire!M2:M65)</f>
        <v>1253.6778592630194</v>
      </c>
      <c r="N66" s="170">
        <f>SUMIF(Parcellaire!$B$2:$B$65,1,Parcellaire!N2:N65)</f>
        <v>90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36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5292.9818655249192</v>
      </c>
      <c r="U66" s="170">
        <f>SUMIF(Parcellaire!$B$2:$B$65,1,Parcellaire!U2:U65)</f>
        <v>3528.6545770166131</v>
      </c>
      <c r="V66" s="170">
        <f>SUMIF(Parcellaire!$B$2:$B$65,1,Parcellaire!V2:V65)</f>
        <v>7057.3091540332262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3" zoomScale="80" zoomScaleNormal="80" workbookViewId="0">
      <selection activeCell="L82" sqref="L8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16.5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>
        <v>4</v>
      </c>
      <c r="R79">
        <v>4</v>
      </c>
    </row>
    <row r="80" spans="10:22" x14ac:dyDescent="0.25">
      <c r="J80" s="14" t="s">
        <v>604</v>
      </c>
      <c r="K80" s="80">
        <v>16</v>
      </c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3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>
        <v>1</v>
      </c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324</v>
      </c>
      <c r="S164" s="173">
        <f>Alim_Surf!R7</f>
        <v>3.5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3.5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129</v>
      </c>
      <c r="S171" s="173">
        <f>Alim_Surf!R14</f>
        <v>0</v>
      </c>
      <c r="T171" s="173">
        <f>VLOOKUP(R171,[1]MEP!$A$4:$M$300,13)</f>
        <v>1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303</v>
      </c>
      <c r="S172" s="173">
        <f>Alim_Surf!R15</f>
        <v>1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1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1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1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1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1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2.5</v>
      </c>
      <c r="T188" s="173">
        <f>VLOOKUP(R188,[1]MEP!$A$4:$M$300,13)</f>
        <v>1</v>
      </c>
      <c r="U188" s="173">
        <f t="shared" si="10"/>
        <v>2.5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2.5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2.5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16.5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16.5</v>
      </c>
      <c r="AI228" s="62">
        <f t="shared" si="24"/>
        <v>2.5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E30" zoomScale="90" zoomScaleNormal="90" workbookViewId="0">
      <selection activeCell="AD43" sqref="AD4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5294</v>
      </c>
      <c r="AQ4">
        <f>SUM(BJ31:BL31)</f>
        <v>22.5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2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2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0</v>
      </c>
      <c r="BC10" s="30">
        <f>ROUND(Parcellaire!U8,0)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10"/>
        <v>AU</v>
      </c>
      <c r="BG10" s="173">
        <f t="shared" si="11"/>
        <v>0</v>
      </c>
      <c r="BH10" s="173">
        <f t="shared" si="4"/>
        <v>0</v>
      </c>
      <c r="BI10" s="173">
        <f t="shared" si="5"/>
        <v>0</v>
      </c>
      <c r="BJ10" s="173">
        <f t="shared" si="6"/>
        <v>0</v>
      </c>
      <c r="BK10" s="173">
        <f t="shared" si="7"/>
        <v>0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2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10"/>
        <v>AU</v>
      </c>
      <c r="BG11" s="173">
        <f t="shared" si="11"/>
        <v>0</v>
      </c>
      <c r="BH11" s="173">
        <f t="shared" si="4"/>
        <v>0</v>
      </c>
      <c r="BI11" s="173">
        <f t="shared" si="5"/>
        <v>0</v>
      </c>
      <c r="BJ11" s="173">
        <f t="shared" si="6"/>
        <v>0</v>
      </c>
      <c r="BK11" s="173">
        <f t="shared" si="7"/>
        <v>0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1</v>
      </c>
      <c r="I17" s="173">
        <f t="shared" si="18"/>
        <v>1</v>
      </c>
      <c r="J17" s="173">
        <f t="shared" si="18"/>
        <v>1</v>
      </c>
      <c r="K17" s="173">
        <f t="shared" si="18"/>
        <v>1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5294</v>
      </c>
      <c r="AE20" s="64">
        <v>0</v>
      </c>
      <c r="AF20" s="64">
        <f>SUM(AD20:AE20)</f>
        <v>5294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5294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5294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22.5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1</v>
      </c>
      <c r="N27" s="177">
        <f t="shared" si="25"/>
        <v>1</v>
      </c>
      <c r="O27" s="177">
        <f t="shared" si="25"/>
        <v>1</v>
      </c>
      <c r="P27" s="177">
        <f t="shared" si="25"/>
        <v>1</v>
      </c>
      <c r="Q27" s="177">
        <f t="shared" si="25"/>
        <v>1</v>
      </c>
      <c r="R27" s="177">
        <f t="shared" si="25"/>
        <v>1</v>
      </c>
      <c r="S27" s="177">
        <f t="shared" si="25"/>
        <v>1</v>
      </c>
      <c r="T27" s="177">
        <f t="shared" si="25"/>
        <v>1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3</v>
      </c>
      <c r="N31" s="177">
        <f>N27*[1]Protect!$B$14</f>
        <v>3</v>
      </c>
      <c r="O31" s="177">
        <f>O27*[1]Protect!$B$14</f>
        <v>3</v>
      </c>
      <c r="P31" s="177">
        <f>P27*[1]Protect!$B$14</f>
        <v>3</v>
      </c>
      <c r="Q31" s="177">
        <f>Q27*[1]Protect!$B$14</f>
        <v>3</v>
      </c>
      <c r="R31" s="177">
        <f>R27*[1]Protect!$B$14</f>
        <v>3</v>
      </c>
      <c r="S31" s="177">
        <f>S27*[1]Protect!$B$14</f>
        <v>3</v>
      </c>
      <c r="T31" s="177">
        <f>T27*[1]Protect!$B$14</f>
        <v>3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0</v>
      </c>
      <c r="BJ31" s="62">
        <f t="shared" si="27"/>
        <v>0</v>
      </c>
      <c r="BK31" s="62">
        <f t="shared" si="27"/>
        <v>22.5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7</v>
      </c>
      <c r="N32" s="177">
        <f t="shared" si="28"/>
        <v>7</v>
      </c>
      <c r="O32" s="177">
        <f t="shared" si="28"/>
        <v>7</v>
      </c>
      <c r="P32" s="177">
        <f t="shared" si="28"/>
        <v>7</v>
      </c>
      <c r="Q32" s="177">
        <f t="shared" si="28"/>
        <v>7</v>
      </c>
      <c r="R32" s="177">
        <f t="shared" si="28"/>
        <v>7</v>
      </c>
      <c r="S32" s="177">
        <f t="shared" si="28"/>
        <v>7</v>
      </c>
      <c r="T32" s="177">
        <f t="shared" si="28"/>
        <v>7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/>
      <c r="AF33" s="295" t="s">
        <v>1467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14</v>
      </c>
      <c r="N34" s="177">
        <f t="shared" si="29"/>
        <v>14</v>
      </c>
      <c r="O34" s="177">
        <f t="shared" si="29"/>
        <v>14</v>
      </c>
      <c r="P34" s="177">
        <f t="shared" si="29"/>
        <v>14</v>
      </c>
      <c r="Q34" s="177">
        <f t="shared" si="29"/>
        <v>14</v>
      </c>
      <c r="R34" s="177">
        <f t="shared" si="29"/>
        <v>14</v>
      </c>
      <c r="S34" s="177">
        <f t="shared" si="29"/>
        <v>14</v>
      </c>
      <c r="T34" s="177">
        <f t="shared" si="29"/>
        <v>14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1</v>
      </c>
      <c r="N40" s="62">
        <f t="shared" si="34"/>
        <v>1</v>
      </c>
      <c r="O40" s="62">
        <f t="shared" si="34"/>
        <v>1</v>
      </c>
      <c r="P40" s="62">
        <f t="shared" si="34"/>
        <v>1</v>
      </c>
      <c r="Q40" s="62">
        <f t="shared" si="34"/>
        <v>1</v>
      </c>
      <c r="R40" s="62">
        <f t="shared" si="34"/>
        <v>1</v>
      </c>
      <c r="S40" s="62">
        <f t="shared" si="34"/>
        <v>1</v>
      </c>
      <c r="T40" s="62">
        <f t="shared" si="34"/>
        <v>1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4</v>
      </c>
      <c r="N110" s="173">
        <f>IF($AA110=0,99,IF(N123&gt;3,CdTrp2!M76,CdTrp2!M52))</f>
        <v>4</v>
      </c>
      <c r="O110" s="173">
        <f>IF($AA110=0,99,IF(O123&gt;3,CdTrp2!N76,CdTrp2!N52))</f>
        <v>4</v>
      </c>
      <c r="P110" s="173">
        <f>IF($AA110=0,99,IF(P123&gt;3,CdTrp2!O76,CdTrp2!O52))</f>
        <v>4</v>
      </c>
      <c r="Q110" s="173">
        <f>IF($AA110=0,99,IF(Q123&gt;3,CdTrp2!P76,CdTrp2!P52))</f>
        <v>4</v>
      </c>
      <c r="R110" s="173">
        <f>IF($AA110=0,99,IF(R123&gt;3,CdTrp2!Q76,CdTrp2!Q52))</f>
        <v>4</v>
      </c>
      <c r="S110" s="173">
        <f>IF($AA110=0,99,IF(S123&gt;3,CdTrp2!R76,CdTrp2!R52))</f>
        <v>4</v>
      </c>
      <c r="T110" s="173">
        <f>IF($AA110=0,99,IF(T123&gt;3,CdTrp2!S76,CdTrp2!S52))</f>
        <v>4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4</v>
      </c>
      <c r="N123" s="30">
        <f>CdTrp2!M76</f>
        <v>4</v>
      </c>
      <c r="O123" s="30">
        <f>CdTrp2!N76</f>
        <v>4</v>
      </c>
      <c r="P123" s="30">
        <f>CdTrp2!O76</f>
        <v>4</v>
      </c>
      <c r="Q123" s="30">
        <f>CdTrp2!P76</f>
        <v>4</v>
      </c>
      <c r="R123" s="30">
        <f>CdTrp2!Q76</f>
        <v>4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8" activePane="bottomLeft" state="frozen"/>
      <selection activeCell="J83" sqref="J83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672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183.75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21</v>
      </c>
      <c r="N6" s="173">
        <f t="shared" si="2"/>
        <v>24.5</v>
      </c>
      <c r="O6" s="173">
        <f t="shared" si="2"/>
        <v>24.5</v>
      </c>
      <c r="P6" s="173">
        <f t="shared" si="2"/>
        <v>24.5</v>
      </c>
      <c r="Q6" s="173">
        <f t="shared" si="2"/>
        <v>10.5</v>
      </c>
      <c r="R6" s="173">
        <f t="shared" si="2"/>
        <v>10.5</v>
      </c>
      <c r="S6" s="173">
        <f t="shared" si="2"/>
        <v>10.5</v>
      </c>
      <c r="T6" s="173">
        <f t="shared" si="2"/>
        <v>10.5</v>
      </c>
      <c r="U6" s="173">
        <f t="shared" si="2"/>
        <v>10.5</v>
      </c>
      <c r="V6" s="173">
        <f t="shared" si="2"/>
        <v>10.5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22.75</v>
      </c>
      <c r="AA6" s="173">
        <f t="shared" si="2"/>
        <v>29.75</v>
      </c>
      <c r="AB6" s="173">
        <f t="shared" si="2"/>
        <v>29.75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1078.0450434782608</v>
      </c>
      <c r="G9" s="30">
        <f>AV102</f>
        <v>54.26613043478261</v>
      </c>
      <c r="H9" s="30">
        <f t="shared" ref="H9:AD9" si="4">AW102</f>
        <v>54.157478260869567</v>
      </c>
      <c r="I9" s="30">
        <f t="shared" si="4"/>
        <v>54.048826086956524</v>
      </c>
      <c r="J9" s="30">
        <f t="shared" si="4"/>
        <v>53.994500000000002</v>
      </c>
      <c r="K9" s="30">
        <f t="shared" si="4"/>
        <v>53.940173913043481</v>
      </c>
      <c r="L9" s="30">
        <f t="shared" si="4"/>
        <v>53.885847826086959</v>
      </c>
      <c r="M9" s="30">
        <f t="shared" si="4"/>
        <v>53.831521739130437</v>
      </c>
      <c r="N9" s="30">
        <f t="shared" si="4"/>
        <v>53.777195652173916</v>
      </c>
      <c r="O9" s="30">
        <f t="shared" si="4"/>
        <v>53.668543478260872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32.559891304347829</v>
      </c>
      <c r="S9" s="30">
        <f t="shared" si="4"/>
        <v>32.559891304347829</v>
      </c>
      <c r="T9" s="30">
        <f t="shared" si="4"/>
        <v>32.559891304347829</v>
      </c>
      <c r="U9" s="30">
        <f t="shared" si="4"/>
        <v>32.559891304347829</v>
      </c>
      <c r="V9" s="30">
        <f t="shared" si="4"/>
        <v>32.559891304347829</v>
      </c>
      <c r="W9" s="30">
        <f t="shared" si="4"/>
        <v>32.559891304347829</v>
      </c>
      <c r="X9" s="30">
        <f t="shared" si="4"/>
        <v>32.559891304347829</v>
      </c>
      <c r="Y9" s="30">
        <f t="shared" si="4"/>
        <v>32.559891304347829</v>
      </c>
      <c r="Z9" s="30">
        <f t="shared" si="4"/>
        <v>52.038760869565216</v>
      </c>
      <c r="AA9" s="30">
        <f t="shared" si="4"/>
        <v>52.038760869565216</v>
      </c>
      <c r="AB9" s="30">
        <f t="shared" si="4"/>
        <v>54.26613043478261</v>
      </c>
      <c r="AC9" s="30">
        <f t="shared" si="4"/>
        <v>54.26613043478261</v>
      </c>
      <c r="AD9" s="30">
        <f t="shared" si="4"/>
        <v>54.26613043478261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2560.2950434782597</v>
      </c>
      <c r="G13" s="30">
        <f>SUM(G5:G11)</f>
        <v>117.26613043478261</v>
      </c>
      <c r="H13" s="30">
        <f t="shared" ref="H13:AD13" si="8">SUM(H5:H11)</f>
        <v>117.15747826086957</v>
      </c>
      <c r="I13" s="30">
        <f t="shared" si="8"/>
        <v>122.29882608695652</v>
      </c>
      <c r="J13" s="30">
        <f t="shared" si="8"/>
        <v>136.24450000000002</v>
      </c>
      <c r="K13" s="30">
        <f t="shared" si="8"/>
        <v>136.19017391304348</v>
      </c>
      <c r="L13" s="30">
        <f t="shared" si="8"/>
        <v>141.38584782608694</v>
      </c>
      <c r="M13" s="30">
        <f t="shared" si="8"/>
        <v>130.83152173913044</v>
      </c>
      <c r="N13" s="30">
        <f t="shared" si="8"/>
        <v>134.27719565217393</v>
      </c>
      <c r="O13" s="30">
        <f t="shared" si="8"/>
        <v>134.16854347826086</v>
      </c>
      <c r="P13" s="30">
        <f t="shared" si="8"/>
        <v>106.05989130434783</v>
      </c>
      <c r="Q13" s="30">
        <f t="shared" si="8"/>
        <v>71.059891304347829</v>
      </c>
      <c r="R13" s="30">
        <f t="shared" si="8"/>
        <v>71.059891304347829</v>
      </c>
      <c r="S13" s="30">
        <f t="shared" si="8"/>
        <v>71.059891304347829</v>
      </c>
      <c r="T13" s="30">
        <f t="shared" si="8"/>
        <v>71.059891304347829</v>
      </c>
      <c r="U13" s="30">
        <f t="shared" si="8"/>
        <v>71.059891304347829</v>
      </c>
      <c r="V13" s="30">
        <f t="shared" si="8"/>
        <v>71.059891304347829</v>
      </c>
      <c r="W13" s="30">
        <f t="shared" si="8"/>
        <v>69.309891304347829</v>
      </c>
      <c r="X13" s="30">
        <f t="shared" si="8"/>
        <v>69.309891304347829</v>
      </c>
      <c r="Y13" s="30">
        <f t="shared" si="8"/>
        <v>104.30989130434783</v>
      </c>
      <c r="Z13" s="30">
        <f t="shared" si="8"/>
        <v>130.78876086956521</v>
      </c>
      <c r="AA13" s="30">
        <f t="shared" si="8"/>
        <v>123.78876086956521</v>
      </c>
      <c r="AB13" s="30">
        <f t="shared" si="8"/>
        <v>126.01613043478261</v>
      </c>
      <c r="AC13" s="30">
        <f t="shared" si="8"/>
        <v>117.26613043478261</v>
      </c>
      <c r="AD13" s="30">
        <f t="shared" si="8"/>
        <v>117.26613043478261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8</v>
      </c>
      <c r="F21" s="173">
        <f t="shared" ref="F21:F22" si="16">D21*E21</f>
        <v>96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2</v>
      </c>
      <c r="CI49" s="173">
        <f>IF(CdTrp2!I77=1,1,IF(CdTrp2!I77=2,2,IF(CdTrp2!I77=3,2,0)))</f>
        <v>2</v>
      </c>
      <c r="CJ49" s="173">
        <f>IF(CdTrp2!J77=1,1,IF(CdTrp2!J77=2,2,IF(CdTrp2!J77=3,2,0)))</f>
        <v>2</v>
      </c>
      <c r="CK49" s="173">
        <f>IF(CdTrp2!K77=1,1,IF(CdTrp2!K77=2,2,IF(CdTrp2!K77=3,2,0)))</f>
        <v>2</v>
      </c>
      <c r="CL49" s="173">
        <f>IF(CdTrp2!L77=1,1,IF(CdTrp2!L77=2,2,IF(CdTrp2!L77=3,2,0)))</f>
        <v>2</v>
      </c>
      <c r="CM49" s="173">
        <f>IF(CdTrp2!M77=1,1,IF(CdTrp2!M77=2,2,IF(CdTrp2!M77=3,2,0)))</f>
        <v>2</v>
      </c>
      <c r="CN49" s="173">
        <f>IF(CdTrp2!N77=1,1,IF(CdTrp2!N77=2,2,IF(CdTrp2!N77=3,2,0)))</f>
        <v>2</v>
      </c>
      <c r="CO49" s="173">
        <f>IF(CdTrp2!O77=1,1,IF(CdTrp2!O77=2,2,IF(CdTrp2!O77=3,2,0)))</f>
        <v>2</v>
      </c>
      <c r="CP49" s="173">
        <f>IF(CdTrp2!P77=1,1,IF(CdTrp2!P77=2,2,IF(CdTrp2!P77=3,2,0)))</f>
        <v>2</v>
      </c>
      <c r="CQ49" s="173">
        <f>IF(CdTrp2!Q77=1,1,IF(CdTrp2!Q77=2,2,IF(CdTrp2!Q77=3,2,0)))</f>
        <v>2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16.5</v>
      </c>
      <c r="C55" s="190">
        <f>IF(B55&gt;[1]Trav!E121,[1]Trav!C121,[1]Trav!B121)</f>
        <v>7.2</v>
      </c>
      <c r="D55"/>
      <c r="E55" s="172"/>
      <c r="F55" s="173">
        <f t="shared" si="32"/>
        <v>119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211</v>
      </c>
      <c r="AW61" s="173">
        <f>IF(AW16=0,0,IF(AW38=3,0,VALUE(CONCATENATE(Travail!AW27,Travail!AW38,Travail!AW49))))</f>
        <v>211</v>
      </c>
      <c r="AX61" s="173">
        <f>IF(AX16=0,0,IF(AX38=3,0,VALUE(CONCATENATE(Travail!AX27,Travail!AX38,Travail!AX49))))</f>
        <v>211</v>
      </c>
      <c r="AY61" s="173">
        <f>IF(AY16=0,0,IF(AY38=3,0,VALUE(CONCATENATE(Travail!AY27,Travail!AY38,Travail!AY49))))</f>
        <v>211</v>
      </c>
      <c r="AZ61" s="173">
        <f>IF(AZ16=0,0,IF(AZ38=3,0,VALUE(CONCATENATE(Travail!AZ27,Travail!AZ38,Travail!AZ49))))</f>
        <v>211</v>
      </c>
      <c r="BA61" s="173">
        <f>IF(BA16=0,0,IF(BA38=3,0,VALUE(CONCATENATE(Travail!BA27,Travail!BA38,Travail!BA49))))</f>
        <v>211</v>
      </c>
      <c r="BB61" s="173">
        <f>IF(BB16=0,0,IF(BB38=3,0,VALUE(CONCATENATE(Travail!BB27,Travail!BB38,Travail!BB49))))</f>
        <v>211</v>
      </c>
      <c r="BC61" s="173">
        <f>IF(BC16=0,0,IF(BC38=3,0,VALUE(CONCATENATE(Travail!BC27,Travail!BC38,Travail!BC49))))</f>
        <v>211</v>
      </c>
      <c r="BD61" s="173">
        <f>IF(BD16=0,0,IF(BD38=3,0,VALUE(CONCATENATE(Travail!BD27,Travail!BD38,Travail!BD49))))</f>
        <v>211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211</v>
      </c>
      <c r="BP61" s="173">
        <f>IF(BP16=0,0,IF(BP38=3,0,VALUE(CONCATENATE(Travail!BP27,Travail!BP38,Travail!BP49))))</f>
        <v>211</v>
      </c>
      <c r="BQ61" s="173">
        <f>IF(BQ16=0,0,IF(BQ38=3,0,VALUE(CONCATENATE(Travail!BQ27,Travail!BQ38,Travail!BQ49))))</f>
        <v>211</v>
      </c>
      <c r="BR61" s="173">
        <f>IF(BR16=0,0,IF(BR38=3,0,VALUE(CONCATENATE(Travail!BR27,Travail!BR38,Travail!BR49))))</f>
        <v>211</v>
      </c>
      <c r="BS61" s="173">
        <f>IF(BS16=0,0,IF(BS38=3,0,VALUE(CONCATENATE(Travail!BS27,Travail!BS38,Travail!BS49))))</f>
        <v>211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212</v>
      </c>
      <c r="CI61" s="173">
        <f>IF(CI16=0,0,IF(CI38=3,0,VALUE(CONCATENATE(Travail!CI27,Travail!CI38,Travail!CI49))))</f>
        <v>212</v>
      </c>
      <c r="CJ61" s="173">
        <f>IF(CJ16=0,0,IF(CJ38=3,0,VALUE(CONCATENATE(Travail!CJ27,Travail!CJ38,Travail!CJ49))))</f>
        <v>212</v>
      </c>
      <c r="CK61" s="173">
        <f>IF(CK16=0,0,IF(CK38=3,0,VALUE(CONCATENATE(Travail!CK27,Travail!CK38,Travail!CK49))))</f>
        <v>212</v>
      </c>
      <c r="CL61" s="173">
        <f>IF(CL16=0,0,IF(CL38=3,0,VALUE(CONCATENATE(Travail!CL27,Travail!CL38,Travail!CL49))))</f>
        <v>212</v>
      </c>
      <c r="CM61" s="173">
        <f>IF(CM16=0,0,IF(CM38=3,0,VALUE(CONCATENATE(Travail!CM27,Travail!CM38,Travail!CM49))))</f>
        <v>212</v>
      </c>
      <c r="CN61" s="173">
        <f>IF(CN16=0,0,IF(CN38=3,0,VALUE(CONCATENATE(Travail!CN27,Travail!CN38,Travail!CN49))))</f>
        <v>212</v>
      </c>
      <c r="CO61" s="173">
        <f>IF(CO16=0,0,IF(CO38=3,0,VALUE(CONCATENATE(Travail!CO27,Travail!CO38,Travail!CO49))))</f>
        <v>212</v>
      </c>
      <c r="CP61" s="173">
        <f>IF(CP16=0,0,IF(CP38=3,0,VALUE(CONCATENATE(Travail!CP27,Travail!CP38,Travail!CP49))))</f>
        <v>212</v>
      </c>
      <c r="CQ61" s="173">
        <f>IF(CQ16=0,0,IF(CQ38=3,0,VALUE(CONCATENATE(Travail!CQ27,Travail!CQ38,Travail!CQ49))))</f>
        <v>212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21</v>
      </c>
      <c r="AW72" s="173">
        <f t="shared" si="36"/>
        <v>21</v>
      </c>
      <c r="AX72" s="173">
        <f t="shared" si="36"/>
        <v>21</v>
      </c>
      <c r="AY72" s="173">
        <f t="shared" si="36"/>
        <v>21</v>
      </c>
      <c r="AZ72" s="173">
        <f t="shared" si="36"/>
        <v>21</v>
      </c>
      <c r="BA72" s="173">
        <f t="shared" si="36"/>
        <v>21</v>
      </c>
      <c r="BB72" s="173">
        <f t="shared" si="36"/>
        <v>21</v>
      </c>
      <c r="BC72" s="173">
        <f t="shared" si="36"/>
        <v>21</v>
      </c>
      <c r="BD72" s="173">
        <f t="shared" si="36"/>
        <v>21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21</v>
      </c>
      <c r="BP72" s="173">
        <f t="shared" si="36"/>
        <v>21</v>
      </c>
      <c r="BQ72" s="173">
        <f t="shared" si="36"/>
        <v>21</v>
      </c>
      <c r="BR72" s="173">
        <f t="shared" si="36"/>
        <v>21</v>
      </c>
      <c r="BS72" s="173">
        <f t="shared" si="36"/>
        <v>21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10</v>
      </c>
      <c r="J73" s="173">
        <f>IF(AND(Troupeau!$C$3="BV",Scénario!$K$87&gt;2),Protection!F25*([1]Protect!$B$22+[1]Protect!$B$23),0)</f>
        <v>10</v>
      </c>
      <c r="K73" s="173">
        <f>IF(AND(Troupeau!$C$3="BV",Scénario!$K$87&gt;2),Protection!G25*([1]Protect!$B$22+[1]Protect!$B$23),0)</f>
        <v>10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15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10</v>
      </c>
      <c r="R73" s="173">
        <f>IF(AND(Troupeau!$C$3="BV",Scénario!$K$87&gt;2),Protection!N25*([1]Protect!$B$22+[1]Protect!$B$23),0)</f>
        <v>10</v>
      </c>
      <c r="S73" s="173">
        <f>IF(AND(Troupeau!$C$3="BV",Scénario!$K$87&gt;2),Protection!O25*([1]Protect!$B$22+[1]Protect!$B$23),0)</f>
        <v>10</v>
      </c>
      <c r="T73" s="173">
        <f>IF(AND(Troupeau!$C$3="BV",Scénario!$K$87&gt;2),Protection!P25*([1]Protect!$B$22+[1]Protect!$B$23),0)</f>
        <v>10</v>
      </c>
      <c r="U73" s="173">
        <f>IF(AND(Troupeau!$C$3="BV",Scénario!$K$87&gt;2),Protection!Q25*([1]Protect!$B$22+[1]Protect!$B$23),0)</f>
        <v>10</v>
      </c>
      <c r="V73" s="173">
        <f>IF(AND(Troupeau!$C$3="BV",Scénario!$K$87&gt;2),Protection!R25*([1]Protect!$B$22+[1]Protect!$B$23),0)</f>
        <v>10</v>
      </c>
      <c r="W73" s="173">
        <f>IF(AND(Troupeau!$C$3="BV",Scénario!$K$87&gt;2),Protection!S25*([1]Protect!$B$22+[1]Protect!$B$23),0)</f>
        <v>10</v>
      </c>
      <c r="X73" s="173">
        <f>IF(AND(Troupeau!$C$3="BV",Scénario!$K$87&gt;2),Protection!T25*([1]Protect!$B$22+[1]Protect!$B$23),0)</f>
        <v>10</v>
      </c>
      <c r="Y73" s="173">
        <f>IF(AND(Troupeau!$C$3="BV",Scénario!$K$87&gt;2),Protection!U25*([1]Protect!$B$22+[1]Protect!$B$23),0)</f>
        <v>15</v>
      </c>
      <c r="Z73" s="173">
        <f>IF(AND(Troupeau!$C$3="BV",Scénario!$K$87&gt;2),Protection!V25*([1]Protect!$B$22+[1]Protect!$B$23),0)</f>
        <v>15</v>
      </c>
      <c r="AA73" s="173">
        <f>IF(AND(Troupeau!$C$3="BV",Scénario!$K$87&gt;2),Protection!W25*([1]Protect!$B$22+[1]Protect!$B$23),0)</f>
        <v>15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578</v>
      </c>
      <c r="G77" s="46">
        <f t="shared" ref="G77:AD77" si="43">+SUM(G69:G76)</f>
        <v>12</v>
      </c>
      <c r="H77" s="46">
        <f t="shared" si="43"/>
        <v>12</v>
      </c>
      <c r="I77" s="46">
        <f t="shared" si="43"/>
        <v>22</v>
      </c>
      <c r="J77" s="46">
        <f t="shared" si="43"/>
        <v>27</v>
      </c>
      <c r="K77" s="46">
        <f t="shared" si="43"/>
        <v>27</v>
      </c>
      <c r="L77" s="46">
        <f t="shared" si="43"/>
        <v>27</v>
      </c>
      <c r="M77" s="46">
        <f t="shared" si="43"/>
        <v>32</v>
      </c>
      <c r="N77" s="46">
        <f t="shared" si="43"/>
        <v>32</v>
      </c>
      <c r="O77" s="46">
        <f t="shared" si="43"/>
        <v>32</v>
      </c>
      <c r="P77" s="46">
        <f t="shared" si="43"/>
        <v>28.5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28.5</v>
      </c>
      <c r="Z77" s="46">
        <f t="shared" si="43"/>
        <v>32</v>
      </c>
      <c r="AA77" s="46">
        <f t="shared" si="43"/>
        <v>27</v>
      </c>
      <c r="AB77" s="46">
        <f t="shared" si="43"/>
        <v>27</v>
      </c>
      <c r="AC77" s="46">
        <f t="shared" si="43"/>
        <v>12</v>
      </c>
      <c r="AD77" s="46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5.2939999999999996</v>
      </c>
      <c r="C83" s="190">
        <f>[1]Protect!$B$24+[1]Protect!$B$26</f>
        <v>0.33</v>
      </c>
      <c r="D83" s="172"/>
      <c r="E83" s="172"/>
      <c r="F83" s="173">
        <f>ROUND(B83*C83,1)</f>
        <v>1.7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1</v>
      </c>
      <c r="BB83" s="173">
        <f t="shared" si="50"/>
        <v>1</v>
      </c>
      <c r="BC83" s="173">
        <f t="shared" si="50"/>
        <v>1</v>
      </c>
      <c r="BD83" s="173">
        <f t="shared" si="50"/>
        <v>1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299.5695652173913</v>
      </c>
      <c r="BH90" s="173">
        <f t="shared" si="60"/>
        <v>299.5695652173913</v>
      </c>
      <c r="BI90" s="173">
        <f t="shared" si="60"/>
        <v>299.5695652173913</v>
      </c>
      <c r="BJ90" s="173">
        <f t="shared" si="60"/>
        <v>299.5695652173913</v>
      </c>
      <c r="BK90" s="173">
        <f t="shared" si="60"/>
        <v>299.5695652173913</v>
      </c>
      <c r="BL90" s="173">
        <f t="shared" si="60"/>
        <v>299.5695652173913</v>
      </c>
      <c r="BM90" s="173">
        <f t="shared" si="60"/>
        <v>299.5695652173913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1750.0450434782608</v>
      </c>
      <c r="C91" s="5"/>
      <c r="D91" s="202">
        <f>B91/Troupeau!$B$17</f>
        <v>4.9020869565217389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687.75</v>
      </c>
      <c r="C92" s="5"/>
      <c r="D92" s="202">
        <f>IF(B92=0,0,B92/Troupeau!$C$17)</f>
        <v>32.75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2437.7950434782606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96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400.46086956521737</v>
      </c>
      <c r="AW99" s="62">
        <f t="shared" ref="AW99:BS99" si="68">SUM(AW90:AW98)</f>
        <v>397.35652173913041</v>
      </c>
      <c r="AX99" s="62">
        <f t="shared" si="68"/>
        <v>394.25217391304346</v>
      </c>
      <c r="AY99" s="62">
        <f t="shared" si="68"/>
        <v>392.7</v>
      </c>
      <c r="AZ99" s="62">
        <f t="shared" si="68"/>
        <v>391.14782608695651</v>
      </c>
      <c r="BA99" s="62">
        <f t="shared" si="68"/>
        <v>389.59565217391304</v>
      </c>
      <c r="BB99" s="62">
        <f t="shared" si="68"/>
        <v>388.04347826086956</v>
      </c>
      <c r="BC99" s="62">
        <f t="shared" si="68"/>
        <v>386.49130434782609</v>
      </c>
      <c r="BD99" s="62">
        <f t="shared" si="68"/>
        <v>383.38695652173914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380.28260869565219</v>
      </c>
      <c r="BH99" s="62">
        <f t="shared" si="68"/>
        <v>380.28260869565219</v>
      </c>
      <c r="BI99" s="62">
        <f t="shared" si="68"/>
        <v>380.28260869565219</v>
      </c>
      <c r="BJ99" s="62">
        <f t="shared" si="68"/>
        <v>380.28260869565219</v>
      </c>
      <c r="BK99" s="62">
        <f t="shared" si="68"/>
        <v>380.28260869565219</v>
      </c>
      <c r="BL99" s="62">
        <f t="shared" si="68"/>
        <v>380.28260869565219</v>
      </c>
      <c r="BM99" s="62">
        <f t="shared" si="68"/>
        <v>380.28260869565219</v>
      </c>
      <c r="BN99" s="62">
        <f t="shared" si="68"/>
        <v>380.28260869565219</v>
      </c>
      <c r="BO99" s="62">
        <f t="shared" si="68"/>
        <v>336.82173913043476</v>
      </c>
      <c r="BP99" s="62">
        <f t="shared" si="68"/>
        <v>336.82173913043476</v>
      </c>
      <c r="BQ99" s="62">
        <f t="shared" si="68"/>
        <v>400.46086956521737</v>
      </c>
      <c r="BR99" s="62">
        <f t="shared" si="68"/>
        <v>400.46086956521737</v>
      </c>
      <c r="BS99" s="62">
        <f t="shared" si="68"/>
        <v>400.46086956521737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8.0092173913043467</v>
      </c>
      <c r="AW100" s="173">
        <f t="shared" ref="AW100:BS100" si="71">IF($AT$2="OL",AW99/50,AW99/10)</f>
        <v>7.9471304347826086</v>
      </c>
      <c r="AX100" s="173">
        <f t="shared" si="71"/>
        <v>7.8850434782608696</v>
      </c>
      <c r="AY100" s="173">
        <f t="shared" si="71"/>
        <v>7.8540000000000001</v>
      </c>
      <c r="AZ100" s="173">
        <f t="shared" si="71"/>
        <v>7.8229565217391306</v>
      </c>
      <c r="BA100" s="173">
        <f t="shared" si="71"/>
        <v>7.7919130434782611</v>
      </c>
      <c r="BB100" s="173">
        <f t="shared" si="71"/>
        <v>7.7608695652173916</v>
      </c>
      <c r="BC100" s="173">
        <f t="shared" si="71"/>
        <v>7.7298260869565221</v>
      </c>
      <c r="BD100" s="173">
        <f t="shared" si="71"/>
        <v>7.6677391304347831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7.605652173913044</v>
      </c>
      <c r="BH100" s="173">
        <f t="shared" si="71"/>
        <v>7.605652173913044</v>
      </c>
      <c r="BI100" s="173">
        <f t="shared" si="71"/>
        <v>7.605652173913044</v>
      </c>
      <c r="BJ100" s="173">
        <f t="shared" si="71"/>
        <v>7.605652173913044</v>
      </c>
      <c r="BK100" s="173">
        <f t="shared" si="71"/>
        <v>7.605652173913044</v>
      </c>
      <c r="BL100" s="173">
        <f t="shared" si="71"/>
        <v>7.605652173913044</v>
      </c>
      <c r="BM100" s="173">
        <f t="shared" si="71"/>
        <v>7.605652173913044</v>
      </c>
      <c r="BN100" s="173">
        <f t="shared" si="71"/>
        <v>7.605652173913044</v>
      </c>
      <c r="BO100" s="173">
        <f t="shared" si="71"/>
        <v>6.7364347826086952</v>
      </c>
      <c r="BP100" s="173">
        <f t="shared" si="71"/>
        <v>6.7364347826086952</v>
      </c>
      <c r="BQ100" s="173">
        <f t="shared" si="71"/>
        <v>8.0092173913043467</v>
      </c>
      <c r="BR100" s="173">
        <f t="shared" si="71"/>
        <v>8.0092173913043467</v>
      </c>
      <c r="BS100" s="173">
        <f t="shared" si="71"/>
        <v>8.0092173913043467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7.0092173913043467</v>
      </c>
      <c r="AW101" s="173">
        <f t="shared" ref="AW101:BS101" si="74">IF(AW100&gt;1,AW100-1,0)</f>
        <v>6.9471304347826086</v>
      </c>
      <c r="AX101" s="173">
        <f t="shared" si="74"/>
        <v>6.8850434782608696</v>
      </c>
      <c r="AY101" s="173">
        <f t="shared" si="74"/>
        <v>6.8540000000000001</v>
      </c>
      <c r="AZ101" s="173">
        <f t="shared" si="74"/>
        <v>6.8229565217391306</v>
      </c>
      <c r="BA101" s="173">
        <f t="shared" si="74"/>
        <v>6.7919130434782611</v>
      </c>
      <c r="BB101" s="173">
        <f t="shared" si="74"/>
        <v>6.7608695652173916</v>
      </c>
      <c r="BC101" s="173">
        <f t="shared" si="74"/>
        <v>6.7298260869565221</v>
      </c>
      <c r="BD101" s="173">
        <f t="shared" si="74"/>
        <v>6.6677391304347831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6.605652173913044</v>
      </c>
      <c r="BH101" s="173">
        <f t="shared" si="74"/>
        <v>6.605652173913044</v>
      </c>
      <c r="BI101" s="173">
        <f t="shared" si="74"/>
        <v>6.605652173913044</v>
      </c>
      <c r="BJ101" s="173">
        <f t="shared" si="74"/>
        <v>6.605652173913044</v>
      </c>
      <c r="BK101" s="173">
        <f t="shared" si="74"/>
        <v>6.605652173913044</v>
      </c>
      <c r="BL101" s="173">
        <f t="shared" si="74"/>
        <v>6.605652173913044</v>
      </c>
      <c r="BM101" s="173">
        <f t="shared" si="74"/>
        <v>6.605652173913044</v>
      </c>
      <c r="BN101" s="173">
        <f t="shared" si="74"/>
        <v>6.605652173913044</v>
      </c>
      <c r="BO101" s="173">
        <f t="shared" si="74"/>
        <v>5.7364347826086952</v>
      </c>
      <c r="BP101" s="173">
        <f t="shared" si="74"/>
        <v>5.7364347826086952</v>
      </c>
      <c r="BQ101" s="173">
        <f t="shared" si="74"/>
        <v>7.0092173913043467</v>
      </c>
      <c r="BR101" s="173">
        <f t="shared" si="74"/>
        <v>7.0092173913043467</v>
      </c>
      <c r="BS101" s="173">
        <f t="shared" si="74"/>
        <v>7.0092173913043467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54.26613043478261</v>
      </c>
      <c r="AW102" s="62">
        <f t="shared" ref="AW102:BS102" si="77">AW86+AW87*AW101</f>
        <v>54.157478260869567</v>
      </c>
      <c r="AX102" s="62">
        <f t="shared" si="77"/>
        <v>54.048826086956524</v>
      </c>
      <c r="AY102" s="62">
        <f t="shared" si="77"/>
        <v>53.994500000000002</v>
      </c>
      <c r="AZ102" s="62">
        <f t="shared" si="77"/>
        <v>53.940173913043481</v>
      </c>
      <c r="BA102" s="62">
        <f t="shared" si="77"/>
        <v>53.885847826086959</v>
      </c>
      <c r="BB102" s="62">
        <f t="shared" si="77"/>
        <v>53.831521739130437</v>
      </c>
      <c r="BC102" s="62">
        <f t="shared" si="77"/>
        <v>53.777195652173916</v>
      </c>
      <c r="BD102" s="62">
        <f t="shared" si="77"/>
        <v>53.668543478260872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32.559891304347829</v>
      </c>
      <c r="BH102" s="62">
        <f t="shared" si="77"/>
        <v>32.559891304347829</v>
      </c>
      <c r="BI102" s="62">
        <f t="shared" si="77"/>
        <v>32.559891304347829</v>
      </c>
      <c r="BJ102" s="62">
        <f t="shared" si="77"/>
        <v>32.559891304347829</v>
      </c>
      <c r="BK102" s="62">
        <f t="shared" si="77"/>
        <v>32.559891304347829</v>
      </c>
      <c r="BL102" s="62">
        <f t="shared" si="77"/>
        <v>32.559891304347829</v>
      </c>
      <c r="BM102" s="62">
        <f t="shared" si="77"/>
        <v>32.559891304347829</v>
      </c>
      <c r="BN102" s="62">
        <f t="shared" si="77"/>
        <v>32.559891304347829</v>
      </c>
      <c r="BO102" s="62">
        <f t="shared" si="77"/>
        <v>52.038760869565216</v>
      </c>
      <c r="BP102" s="62">
        <f t="shared" si="77"/>
        <v>52.038760869565216</v>
      </c>
      <c r="BQ102" s="62">
        <f t="shared" si="77"/>
        <v>54.26613043478261</v>
      </c>
      <c r="BR102" s="62">
        <f t="shared" si="77"/>
        <v>54.26613043478261</v>
      </c>
      <c r="BS102" s="62">
        <f t="shared" si="77"/>
        <v>54.26613043478261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5.25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317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5.9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21</v>
      </c>
      <c r="CI117" s="173">
        <f t="shared" si="84"/>
        <v>24.5</v>
      </c>
      <c r="CJ117" s="173">
        <f t="shared" si="84"/>
        <v>24.5</v>
      </c>
      <c r="CK117" s="173">
        <f t="shared" si="84"/>
        <v>24.5</v>
      </c>
      <c r="CL117" s="173">
        <f t="shared" si="84"/>
        <v>10.5</v>
      </c>
      <c r="CM117" s="173">
        <f t="shared" si="84"/>
        <v>10.5</v>
      </c>
      <c r="CN117" s="173">
        <f t="shared" si="84"/>
        <v>10.5</v>
      </c>
      <c r="CO117" s="173">
        <f t="shared" si="84"/>
        <v>10.5</v>
      </c>
      <c r="CP117" s="173">
        <f t="shared" si="84"/>
        <v>10.5</v>
      </c>
      <c r="CQ117" s="173">
        <f t="shared" si="84"/>
        <v>10.5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22.75</v>
      </c>
      <c r="CV117" s="173">
        <f t="shared" si="84"/>
        <v>29.75</v>
      </c>
      <c r="CW117" s="173">
        <f t="shared" si="84"/>
        <v>29.75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3345.768376811594</v>
      </c>
      <c r="D118" s="202">
        <f>B118/Troupeau!$B$17</f>
        <v>9.3719002151585258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885.75</v>
      </c>
      <c r="D119" s="202">
        <f>IF(B119=0,0,B119/Troupeau!$C$17)</f>
        <v>42.178571428571431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4231.518376811594</v>
      </c>
    </row>
    <row r="123" spans="1:132" x14ac:dyDescent="0.25">
      <c r="A123" s="2" t="s">
        <v>856</v>
      </c>
      <c r="B123" s="30">
        <f>B108</f>
        <v>317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23.9</v>
      </c>
    </row>
    <row r="128" spans="1:132" x14ac:dyDescent="0.25">
      <c r="A128" s="2" t="s">
        <v>873</v>
      </c>
      <c r="B128" s="201">
        <f>SUM(B122:B126)</f>
        <v>5377.4183768115936</v>
      </c>
    </row>
    <row r="129" spans="1:2" x14ac:dyDescent="0.25">
      <c r="A129" s="2" t="s">
        <v>874</v>
      </c>
      <c r="B129" s="30">
        <f>IF(Scénario!K129=1,Travail!F77+Travail!F86,F86)</f>
        <v>578</v>
      </c>
    </row>
    <row r="130" spans="1:2" x14ac:dyDescent="0.25">
      <c r="A130" s="2" t="s">
        <v>875</v>
      </c>
      <c r="B130" s="201">
        <f>ROUND((B128-B129)/(Scénario!K4+Scénario!K6),0)</f>
        <v>3200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33" zoomScale="90" zoomScaleNormal="90" workbookViewId="0">
      <selection activeCell="S50" sqref="S5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98.52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98.52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98.52</v>
      </c>
      <c r="C42" s="215">
        <f>[1]Eco!$B$24</f>
        <v>97</v>
      </c>
      <c r="J42" s="173">
        <f>B42*C42</f>
        <v>9556.44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98.52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6600.84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60.16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98.52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123416.98000000001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128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128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60.16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1</v>
      </c>
      <c r="BT58" s="217">
        <f>IF(CdTrp2!M76=4,1,0)</f>
        <v>1</v>
      </c>
      <c r="BU58" s="217">
        <f>IF(CdTrp2!N76=4,1,0)</f>
        <v>1</v>
      </c>
      <c r="BV58" s="217">
        <f>IF(CdTrp2!O76=4,1,0)</f>
        <v>1</v>
      </c>
      <c r="BW58" s="217">
        <f>IF(CdTrp2!P76=4,1,0)</f>
        <v>1</v>
      </c>
      <c r="BX58" s="217">
        <f>IF(CdTrp2!Q76=4,1,0)</f>
        <v>1</v>
      </c>
      <c r="BY58" s="217">
        <f>IF(CdTrp2!R76=4,1,0)</f>
        <v>1</v>
      </c>
      <c r="BZ58" s="217">
        <f>IF(CdTrp2!S76=4,1,0)</f>
        <v>1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13.566000000000001</v>
      </c>
      <c r="BT69" s="217">
        <f t="shared" si="28"/>
        <v>13.566000000000001</v>
      </c>
      <c r="BU69" s="217">
        <f t="shared" si="28"/>
        <v>13.566000000000001</v>
      </c>
      <c r="BV69" s="217">
        <f t="shared" si="28"/>
        <v>13.566000000000001</v>
      </c>
      <c r="BW69" s="217">
        <f t="shared" si="28"/>
        <v>13.566000000000001</v>
      </c>
      <c r="BX69" s="217">
        <f t="shared" si="28"/>
        <v>13.566000000000001</v>
      </c>
      <c r="BY69" s="217">
        <f t="shared" si="28"/>
        <v>12.851999999999999</v>
      </c>
      <c r="BZ69" s="217">
        <f t="shared" si="28"/>
        <v>12.851999999999999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107.10000000000001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83.864840000000001</v>
      </c>
      <c r="C118" s="190">
        <f>IF(Scénario!$K$12="BV",[1]Eco!$B$78,IF(Scénario!$K$12="BL",[1]Eco!$B$77,[1]Eco!$B$76))</f>
        <v>223</v>
      </c>
      <c r="J118" s="173">
        <f>B118*C118</f>
        <v>18701.85932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62.954999999999998</v>
      </c>
      <c r="C119" s="190">
        <f>[1]Eco!$B$79</f>
        <v>80</v>
      </c>
      <c r="J119" s="173">
        <f>B119*C119</f>
        <v>5036.3999999999996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16.5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594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2.5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155.39999999999998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476.46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71330.279320000016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16.5</v>
      </c>
      <c r="X153" t="s">
        <v>52</v>
      </c>
      <c r="Y153" s="173">
        <f>W153-Scénario!K28</f>
        <v>-13.5</v>
      </c>
      <c r="Z153" s="173">
        <f>Y153-Y156</f>
        <v>-13.5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-13.5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-488.70000000000005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324</v>
      </c>
      <c r="S164" s="173">
        <f>Alim_Surf!R7</f>
        <v>3.5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3.5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361.9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3846.9969999999998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39065.797000000006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129</v>
      </c>
      <c r="S171" s="173">
        <f>Alim_Surf!R14</f>
        <v>0</v>
      </c>
      <c r="T171" s="173">
        <f>VLOOKUP(R171,[1]MEP!$A$4:$M$300,13)</f>
        <v>1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303</v>
      </c>
      <c r="S172" s="173">
        <f>Alim_Surf!R15</f>
        <v>1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1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1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13020.903679999989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8681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783.24271114049111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-762.33903114050258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-508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1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1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1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2.5</v>
      </c>
      <c r="T188" s="173">
        <f>VLOOKUP(R188,[1]MEP!$A$4:$M$300,13)</f>
        <v>1</v>
      </c>
      <c r="U188" s="173">
        <f t="shared" si="72"/>
        <v>2.5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2.5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2.5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16.5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16.5</v>
      </c>
      <c r="AI228" s="62">
        <f t="shared" si="86"/>
        <v>2.5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5294</v>
      </c>
      <c r="U234" t="s">
        <v>1101</v>
      </c>
      <c r="V234" s="173"/>
      <c r="W234" s="173">
        <f>[1]Protect!$B$4</f>
        <v>6</v>
      </c>
      <c r="X234" s="173">
        <f>T234*W234</f>
        <v>31764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31764</v>
      </c>
      <c r="Z237" s="30">
        <f>IF(Scénario!K84=1,MIN(0.8*'Calcul éco'!X237,[1]Protect!$B$68),IF(Scénario!K84=2,MIN(0.8*'Calcul éco'!X237,[1]Protect!$B$67),0))</f>
        <v>25411.200000000001</v>
      </c>
      <c r="AA237" s="30">
        <f>X237-Z237</f>
        <v>6352.7999999999993</v>
      </c>
      <c r="AB237" s="30">
        <f>(Scénario!K127/100)*AA237</f>
        <v>0</v>
      </c>
      <c r="AC237" s="30">
        <f>AA237-AB237</f>
        <v>6352.7999999999993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783.24271114049111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79.41</v>
      </c>
      <c r="U272" s="173"/>
      <c r="V272" s="173"/>
      <c r="W272" s="173">
        <f>W234</f>
        <v>6</v>
      </c>
      <c r="X272" s="173">
        <f>T272*W272</f>
        <v>476.46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Z3_OLBV_T3_ZIs3</v>
      </c>
      <c r="D1" s="275" t="str">
        <f>CONCATENATE(C1,"_corr")</f>
        <v>Z3_OLBV_T3_ZIs3_corr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4</v>
      </c>
      <c r="D46" s="177">
        <f t="shared" si="0"/>
        <v>4</v>
      </c>
      <c r="E46" s="14"/>
    </row>
    <row r="47" spans="2:5" x14ac:dyDescent="0.25">
      <c r="B47" s="14" t="s">
        <v>604</v>
      </c>
      <c r="C47" s="177">
        <f>Scénario!K80</f>
        <v>16</v>
      </c>
      <c r="D47" s="177">
        <f t="shared" si="0"/>
        <v>16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3</v>
      </c>
      <c r="D51" s="177">
        <f t="shared" si="0"/>
        <v>3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1</v>
      </c>
      <c r="D55" s="177">
        <f t="shared" si="0"/>
        <v>1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16.5</v>
      </c>
      <c r="D85" s="261">
        <f>ROUND(C85*$D$82/$C$82,3)</f>
        <v>15.647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4</v>
      </c>
      <c r="S105" s="30">
        <f>CdTrp2!M76</f>
        <v>4</v>
      </c>
      <c r="T105" s="30">
        <f>CdTrp2!N76</f>
        <v>4</v>
      </c>
      <c r="U105" s="30">
        <f>CdTrp2!O76</f>
        <v>4</v>
      </c>
      <c r="V105" s="30">
        <f>CdTrp2!P76</f>
        <v>4</v>
      </c>
      <c r="W105" s="30">
        <f>CdTrp2!Q76</f>
        <v>4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4</v>
      </c>
      <c r="CM109" s="173">
        <f>IF(CdTrp2!M76=1,1,IF(CdTrp2!M76=2,2,IF(CdTrp2!M76=3,2,IF(CdTrp2!M76=4,4,0))))</f>
        <v>4</v>
      </c>
      <c r="CN109" s="173">
        <f>IF(CdTrp2!N76=1,1,IF(CdTrp2!N76=2,2,IF(CdTrp2!N76=3,2,IF(CdTrp2!N76=4,4,0))))</f>
        <v>4</v>
      </c>
      <c r="CO109" s="173">
        <f>IF(CdTrp2!O76=1,1,IF(CdTrp2!O76=2,2,IF(CdTrp2!O76=3,2,IF(CdTrp2!O76=4,4,0))))</f>
        <v>4</v>
      </c>
      <c r="CP109" s="173">
        <f>IF(CdTrp2!P76=1,1,IF(CdTrp2!P76=2,2,IF(CdTrp2!P76=3,2,IF(CdTrp2!P76=4,4,0))))</f>
        <v>4</v>
      </c>
      <c r="CQ109" s="173">
        <f>IF(CdTrp2!Q76=1,1,IF(CdTrp2!Q76=2,2,IF(CdTrp2!Q76=3,2,IF(CdTrp2!Q76=4,4,0))))</f>
        <v>4</v>
      </c>
      <c r="CR109" s="173">
        <f>IF(CdTrp2!R76=1,1,IF(CdTrp2!R76=2,2,IF(CdTrp2!R76=3,2,IF(CdTrp2!R76=4,4,0))))</f>
        <v>4</v>
      </c>
      <c r="CS109" s="173">
        <f>IF(CdTrp2!S76=1,1,IF(CdTrp2!S76=2,2,IF(CdTrp2!S76=3,2,IF(CdTrp2!S76=4,4,0))))</f>
        <v>4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2</v>
      </c>
      <c r="CI110" s="173">
        <f>IF(CdTrp2!I77=1,1,IF(CdTrp2!I77=2,2,IF(CdTrp2!I77=3,2,IF(CdTrp2!I77=4,4,0))))</f>
        <v>2</v>
      </c>
      <c r="CJ110" s="173">
        <f>IF(CdTrp2!J77=1,1,IF(CdTrp2!J77=2,2,IF(CdTrp2!J77=3,2,IF(CdTrp2!J77=4,4,0))))</f>
        <v>2</v>
      </c>
      <c r="CK110" s="173">
        <f>IF(CdTrp2!K77=1,1,IF(CdTrp2!K77=2,2,IF(CdTrp2!K77=3,2,IF(CdTrp2!K77=4,4,0))))</f>
        <v>2</v>
      </c>
      <c r="CL110" s="173">
        <f>IF(CdTrp2!L77=1,1,IF(CdTrp2!L77=2,2,IF(CdTrp2!L77=3,2,IF(CdTrp2!L77=4,4,0))))</f>
        <v>2</v>
      </c>
      <c r="CM110" s="173">
        <f>IF(CdTrp2!M77=1,1,IF(CdTrp2!M77=2,2,IF(CdTrp2!M77=3,2,IF(CdTrp2!M77=4,4,0))))</f>
        <v>2</v>
      </c>
      <c r="CN110" s="173">
        <f>IF(CdTrp2!N77=1,1,IF(CdTrp2!N77=2,2,IF(CdTrp2!N77=3,2,IF(CdTrp2!N77=4,4,0))))</f>
        <v>2</v>
      </c>
      <c r="CO110" s="173">
        <f>IF(CdTrp2!O77=1,1,IF(CdTrp2!O77=2,2,IF(CdTrp2!O77=3,2,IF(CdTrp2!O77=4,4,0))))</f>
        <v>2</v>
      </c>
      <c r="CP110" s="173">
        <f>IF(CdTrp2!P77=1,1,IF(CdTrp2!P77=2,2,IF(CdTrp2!P77=3,2,IF(CdTrp2!P77=4,4,0))))</f>
        <v>2</v>
      </c>
      <c r="CQ110" s="173">
        <f>IF(CdTrp2!Q77=1,1,IF(CdTrp2!Q77=2,2,IF(CdTrp2!Q77=3,2,IF(CdTrp2!Q77=4,4,0))))</f>
        <v>2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3.5</v>
      </c>
      <c r="D111" s="173">
        <f t="shared" si="25"/>
        <v>3.5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20.5</v>
      </c>
      <c r="D114" s="173">
        <f t="shared" si="25"/>
        <v>20.5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4</v>
      </c>
      <c r="D120" s="173">
        <f t="shared" si="25"/>
        <v>4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211</v>
      </c>
      <c r="AW122" s="173">
        <f>IF(AW76=0,0,IF(AW99=3,0,VALUE(CONCATENATE(Travail!AW27,Travail!AW38,Travail!AW49))))</f>
        <v>211</v>
      </c>
      <c r="AX122" s="173">
        <f>IF(AX76=0,0,IF(AX99=3,0,VALUE(CONCATENATE(Travail!AX27,Travail!AX38,Travail!AX49))))</f>
        <v>211</v>
      </c>
      <c r="AY122" s="173">
        <f>IF(AY76=0,0,IF(AY99=3,0,VALUE(CONCATENATE(Travail!AY27,Travail!AY38,Travail!AY49))))</f>
        <v>211</v>
      </c>
      <c r="AZ122" s="173">
        <f>IF(AZ76=0,0,IF(AZ99=3,0,VALUE(CONCATENATE(Travail!AZ27,Travail!AZ38,Travail!AZ49))))</f>
        <v>211</v>
      </c>
      <c r="BA122" s="173">
        <f>IF(BA76=0,0,IF(BA99=3,0,VALUE(CONCATENATE(Travail!BA27,Travail!BA38,Travail!BA49))))</f>
        <v>211</v>
      </c>
      <c r="BB122" s="173">
        <f>IF(BB76=0,0,IF(BB99=3,0,VALUE(CONCATENATE(Travail!BB27,Travail!BB38,Travail!BB49))))</f>
        <v>211</v>
      </c>
      <c r="BC122" s="173">
        <f>IF(BC76=0,0,IF(BC99=3,0,VALUE(CONCATENATE(Travail!BC27,Travail!BC38,Travail!BC49))))</f>
        <v>211</v>
      </c>
      <c r="BD122" s="173">
        <f>IF(BD76=0,0,IF(BD99=3,0,VALUE(CONCATENATE(Travail!BD27,Travail!BD38,Travail!BD49))))</f>
        <v>211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211</v>
      </c>
      <c r="BP122" s="173">
        <f>IF(BP76=0,0,IF(BP99=3,0,VALUE(CONCATENATE(Travail!BP27,Travail!BP38,Travail!BP49))))</f>
        <v>211</v>
      </c>
      <c r="BQ122" s="173">
        <f>IF(BQ76=0,0,IF(BQ99=3,0,VALUE(CONCATENATE(Travail!BQ27,Travail!BQ38,Travail!BQ49))))</f>
        <v>211</v>
      </c>
      <c r="BR122" s="173">
        <f>IF(BR76=0,0,IF(BR99=3,0,VALUE(CONCATENATE(Travail!BR27,Travail!BR38,Travail!BR49))))</f>
        <v>211</v>
      </c>
      <c r="BS122" s="173">
        <f>IF(BS76=0,0,IF(BS99=3,0,VALUE(CONCATENATE(Travail!BS27,Travail!BS38,Travail!BS49))))</f>
        <v>211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212</v>
      </c>
      <c r="CI122" s="173">
        <f>IF(CI76=0,0,VALUE(CONCATENATE(Travail!CI27,Travail!CI38,Travail!CI49)))</f>
        <v>212</v>
      </c>
      <c r="CJ122" s="173">
        <f>IF(CJ76=0,0,VALUE(CONCATENATE(Travail!CJ27,Travail!CJ38,Travail!CJ49)))</f>
        <v>212</v>
      </c>
      <c r="CK122" s="173">
        <f>IF(CK76=0,0,VALUE(CONCATENATE(Travail!CK27,Travail!CK38,Travail!CK49)))</f>
        <v>212</v>
      </c>
      <c r="CL122" s="173">
        <f>IF(CL76=0,0,VALUE(CONCATENATE(Travail!CL27,Travail!CL38,Travail!CL49)))</f>
        <v>212</v>
      </c>
      <c r="CM122" s="173">
        <f>IF(CM76=0,0,VALUE(CONCATENATE(Travail!CM27,Travail!CM38,Travail!CM49)))</f>
        <v>212</v>
      </c>
      <c r="CN122" s="173">
        <f>IF(CN76=0,0,VALUE(CONCATENATE(Travail!CN27,Travail!CN38,Travail!CN49)))</f>
        <v>212</v>
      </c>
      <c r="CO122" s="173">
        <f>IF(CO76=0,0,VALUE(CONCATENATE(Travail!CO27,Travail!CO38,Travail!CO49)))</f>
        <v>212</v>
      </c>
      <c r="CP122" s="173">
        <f>IF(CP76=0,0,VALUE(CONCATENATE(Travail!CP27,Travail!CP38,Travail!CP49)))</f>
        <v>212</v>
      </c>
      <c r="CQ122" s="173">
        <f>IF(CQ76=0,0,VALUE(CONCATENATE(Travail!CQ27,Travail!CQ38,Travail!CQ49)))</f>
        <v>212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4</v>
      </c>
      <c r="D130" s="173">
        <f t="shared" si="25"/>
        <v>4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4</v>
      </c>
      <c r="D132" s="173">
        <f t="shared" si="25"/>
        <v>4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21</v>
      </c>
      <c r="AW133" s="173">
        <f t="shared" si="39"/>
        <v>21</v>
      </c>
      <c r="AX133" s="173">
        <f t="shared" si="39"/>
        <v>21</v>
      </c>
      <c r="AY133" s="173">
        <f t="shared" si="39"/>
        <v>21</v>
      </c>
      <c r="AZ133" s="173">
        <f t="shared" si="39"/>
        <v>21</v>
      </c>
      <c r="BA133" s="173">
        <f t="shared" si="39"/>
        <v>21</v>
      </c>
      <c r="BB133" s="173">
        <f t="shared" si="39"/>
        <v>21</v>
      </c>
      <c r="BC133" s="173">
        <f t="shared" si="39"/>
        <v>21</v>
      </c>
      <c r="BD133" s="173">
        <f t="shared" si="39"/>
        <v>21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21</v>
      </c>
      <c r="BP133" s="173">
        <f t="shared" si="39"/>
        <v>21</v>
      </c>
      <c r="BQ133" s="173">
        <f t="shared" si="39"/>
        <v>21</v>
      </c>
      <c r="BR133" s="173">
        <f t="shared" si="39"/>
        <v>21</v>
      </c>
      <c r="BS133" s="173">
        <f t="shared" si="39"/>
        <v>21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0.14583333333333334</v>
      </c>
      <c r="D134" s="262">
        <f t="shared" si="25"/>
        <v>0.14583333333333334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0.5393258426966292</v>
      </c>
      <c r="D136" s="262">
        <f t="shared" si="25"/>
        <v>0.5393258426966292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1</v>
      </c>
      <c r="S139">
        <f t="shared" si="52"/>
        <v>1</v>
      </c>
      <c r="T139">
        <f t="shared" si="52"/>
        <v>1</v>
      </c>
      <c r="U139">
        <f t="shared" si="52"/>
        <v>1</v>
      </c>
      <c r="V139">
        <f t="shared" si="52"/>
        <v>1</v>
      </c>
      <c r="W139">
        <f t="shared" si="52"/>
        <v>1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1</v>
      </c>
      <c r="BB144" s="173">
        <f t="shared" si="64"/>
        <v>1</v>
      </c>
      <c r="BC144" s="173">
        <f t="shared" si="64"/>
        <v>1</v>
      </c>
      <c r="BD144" s="173">
        <f t="shared" si="64"/>
        <v>1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284.07458770614693</v>
      </c>
      <c r="BH151" s="173">
        <f t="shared" si="74"/>
        <v>284.07458770614693</v>
      </c>
      <c r="BI151" s="173">
        <f t="shared" si="74"/>
        <v>284.07458770614693</v>
      </c>
      <c r="BJ151" s="173">
        <f t="shared" si="74"/>
        <v>284.07458770614693</v>
      </c>
      <c r="BK151" s="173">
        <f t="shared" si="74"/>
        <v>284.07458770614693</v>
      </c>
      <c r="BL151" s="173">
        <f t="shared" si="74"/>
        <v>284.07458770614693</v>
      </c>
      <c r="BM151" s="173">
        <f t="shared" si="74"/>
        <v>284.07458770614693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379.74737631184405</v>
      </c>
      <c r="AW160" s="62">
        <f t="shared" ref="AW160:BS160" si="83">SUM(AW151:AW159)</f>
        <v>376.80359820089956</v>
      </c>
      <c r="AX160" s="62">
        <f t="shared" si="83"/>
        <v>373.85982008995501</v>
      </c>
      <c r="AY160" s="62">
        <f t="shared" si="83"/>
        <v>372.38793103448273</v>
      </c>
      <c r="AZ160" s="62">
        <f t="shared" si="83"/>
        <v>370.91604197901052</v>
      </c>
      <c r="BA160" s="62">
        <f t="shared" si="83"/>
        <v>369.44415292353824</v>
      </c>
      <c r="BB160" s="62">
        <f t="shared" si="83"/>
        <v>367.97226386806597</v>
      </c>
      <c r="BC160" s="62">
        <f t="shared" si="83"/>
        <v>366.50037481259369</v>
      </c>
      <c r="BD160" s="62">
        <f t="shared" si="83"/>
        <v>363.5565967016492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360.61281859070465</v>
      </c>
      <c r="BH160" s="62">
        <f t="shared" si="83"/>
        <v>360.61281859070465</v>
      </c>
      <c r="BI160" s="62">
        <f t="shared" si="83"/>
        <v>360.61281859070465</v>
      </c>
      <c r="BJ160" s="62">
        <f t="shared" si="83"/>
        <v>360.61281859070465</v>
      </c>
      <c r="BK160" s="62">
        <f t="shared" si="83"/>
        <v>360.61281859070465</v>
      </c>
      <c r="BL160" s="62">
        <f t="shared" si="83"/>
        <v>360.61281859070465</v>
      </c>
      <c r="BM160" s="62">
        <f t="shared" si="83"/>
        <v>360.61281859070465</v>
      </c>
      <c r="BN160" s="62">
        <f t="shared" si="83"/>
        <v>360.61281859070465</v>
      </c>
      <c r="BO160" s="62">
        <f t="shared" si="83"/>
        <v>319.3999250374813</v>
      </c>
      <c r="BP160" s="62">
        <f t="shared" si="83"/>
        <v>319.3999250374813</v>
      </c>
      <c r="BQ160" s="62">
        <f t="shared" si="83"/>
        <v>379.74737631184405</v>
      </c>
      <c r="BR160" s="62">
        <f t="shared" si="83"/>
        <v>379.74737631184405</v>
      </c>
      <c r="BS160" s="62">
        <f t="shared" si="83"/>
        <v>379.74737631184405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104.69724347478264</v>
      </c>
      <c r="D161" s="263">
        <f t="shared" si="50"/>
        <v>99.28186881229388</v>
      </c>
      <c r="AT161" s="189" t="s">
        <v>844</v>
      </c>
      <c r="AV161" s="173">
        <f>IF($AT$62="OL",AV160/50,AV160/10)</f>
        <v>7.5949475262368811</v>
      </c>
      <c r="AW161" s="173">
        <f t="shared" ref="AW161:BS161" si="86">IF($AT$62="OL",AW160/50,AW160/10)</f>
        <v>7.5360719640179914</v>
      </c>
      <c r="AX161" s="173">
        <f t="shared" si="86"/>
        <v>7.4771964017990999</v>
      </c>
      <c r="AY161" s="173">
        <f t="shared" si="86"/>
        <v>7.4477586206896547</v>
      </c>
      <c r="AZ161" s="173">
        <f t="shared" si="86"/>
        <v>7.4183208395802103</v>
      </c>
      <c r="BA161" s="173">
        <f t="shared" si="86"/>
        <v>7.388883058470765</v>
      </c>
      <c r="BB161" s="173">
        <f t="shared" si="86"/>
        <v>7.3594452773613197</v>
      </c>
      <c r="BC161" s="173">
        <f t="shared" si="86"/>
        <v>7.3300074962518735</v>
      </c>
      <c r="BD161" s="173">
        <f t="shared" si="86"/>
        <v>7.2711319340329839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7.2122563718140933</v>
      </c>
      <c r="BH161" s="173">
        <f t="shared" si="86"/>
        <v>7.2122563718140933</v>
      </c>
      <c r="BI161" s="173">
        <f t="shared" si="86"/>
        <v>7.2122563718140933</v>
      </c>
      <c r="BJ161" s="173">
        <f t="shared" si="86"/>
        <v>7.2122563718140933</v>
      </c>
      <c r="BK161" s="173">
        <f t="shared" si="86"/>
        <v>7.2122563718140933</v>
      </c>
      <c r="BL161" s="173">
        <f t="shared" si="86"/>
        <v>7.2122563718140933</v>
      </c>
      <c r="BM161" s="173">
        <f t="shared" si="86"/>
        <v>7.2122563718140933</v>
      </c>
      <c r="BN161" s="173">
        <f t="shared" si="86"/>
        <v>7.2122563718140933</v>
      </c>
      <c r="BO161" s="173">
        <f t="shared" si="86"/>
        <v>6.3879985007496263</v>
      </c>
      <c r="BP161" s="173">
        <f t="shared" si="86"/>
        <v>6.3879985007496263</v>
      </c>
      <c r="BQ161" s="173">
        <f t="shared" si="86"/>
        <v>7.5949475262368811</v>
      </c>
      <c r="BR161" s="173">
        <f t="shared" si="86"/>
        <v>7.5949475262368811</v>
      </c>
      <c r="BS161" s="173">
        <f t="shared" si="86"/>
        <v>7.5949475262368811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149.25887342921743</v>
      </c>
      <c r="D162" s="263">
        <f t="shared" si="50"/>
        <v>141.53858687253376</v>
      </c>
      <c r="AT162" s="189" t="s">
        <v>846</v>
      </c>
      <c r="AV162" s="173">
        <f>IF(AV161&gt;1,AV161-1,0)</f>
        <v>6.5949475262368811</v>
      </c>
      <c r="AW162" s="173">
        <f t="shared" ref="AW162:BS162" si="89">IF(AW161&gt;1,AW161-1,0)</f>
        <v>6.5360719640179914</v>
      </c>
      <c r="AX162" s="173">
        <f t="shared" si="89"/>
        <v>6.4771964017990999</v>
      </c>
      <c r="AY162" s="173">
        <f t="shared" si="89"/>
        <v>6.4477586206896547</v>
      </c>
      <c r="AZ162" s="173">
        <f t="shared" si="89"/>
        <v>6.4183208395802103</v>
      </c>
      <c r="BA162" s="173">
        <f t="shared" si="89"/>
        <v>6.388883058470765</v>
      </c>
      <c r="BB162" s="173">
        <f t="shared" si="89"/>
        <v>6.3594452773613197</v>
      </c>
      <c r="BC162" s="173">
        <f t="shared" si="89"/>
        <v>6.3300074962518735</v>
      </c>
      <c r="BD162" s="173">
        <f t="shared" si="89"/>
        <v>6.2711319340329839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6.2122563718140933</v>
      </c>
      <c r="BH162" s="173">
        <f t="shared" si="89"/>
        <v>6.2122563718140933</v>
      </c>
      <c r="BI162" s="173">
        <f t="shared" si="89"/>
        <v>6.2122563718140933</v>
      </c>
      <c r="BJ162" s="173">
        <f t="shared" si="89"/>
        <v>6.2122563718140933</v>
      </c>
      <c r="BK162" s="173">
        <f t="shared" si="89"/>
        <v>6.2122563718140933</v>
      </c>
      <c r="BL162" s="173">
        <f t="shared" si="89"/>
        <v>6.2122563718140933</v>
      </c>
      <c r="BM162" s="173">
        <f t="shared" si="89"/>
        <v>6.2122563718140933</v>
      </c>
      <c r="BN162" s="173">
        <f t="shared" si="89"/>
        <v>6.2122563718140933</v>
      </c>
      <c r="BO162" s="173">
        <f t="shared" si="89"/>
        <v>5.3879985007496263</v>
      </c>
      <c r="BP162" s="173">
        <f t="shared" si="89"/>
        <v>5.3879985007496263</v>
      </c>
      <c r="BQ162" s="173">
        <f t="shared" si="89"/>
        <v>6.5949475262368811</v>
      </c>
      <c r="BR162" s="173">
        <f t="shared" si="89"/>
        <v>6.5949475262368811</v>
      </c>
      <c r="BS162" s="173">
        <f t="shared" si="89"/>
        <v>6.5949475262368811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53.541158170914542</v>
      </c>
      <c r="AW163" s="62">
        <f t="shared" ref="AW163:BS163" si="92">AW147+AW148*AW162</f>
        <v>53.438125937031487</v>
      </c>
      <c r="AX163" s="62">
        <f t="shared" si="92"/>
        <v>53.335093703148424</v>
      </c>
      <c r="AY163" s="62">
        <f t="shared" si="92"/>
        <v>53.283577586206896</v>
      </c>
      <c r="AZ163" s="62">
        <f t="shared" si="92"/>
        <v>53.232061469265368</v>
      </c>
      <c r="BA163" s="62">
        <f t="shared" si="92"/>
        <v>53.18054535232384</v>
      </c>
      <c r="BB163" s="62">
        <f t="shared" si="92"/>
        <v>53.129029235382312</v>
      </c>
      <c r="BC163" s="62">
        <f t="shared" si="92"/>
        <v>53.077513118440777</v>
      </c>
      <c r="BD163" s="62">
        <f t="shared" si="92"/>
        <v>52.974480884557721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31.871448650674665</v>
      </c>
      <c r="BH163" s="62">
        <f t="shared" si="92"/>
        <v>31.871448650674665</v>
      </c>
      <c r="BI163" s="62">
        <f t="shared" si="92"/>
        <v>31.871448650674665</v>
      </c>
      <c r="BJ163" s="62">
        <f t="shared" si="92"/>
        <v>31.871448650674665</v>
      </c>
      <c r="BK163" s="62">
        <f t="shared" si="92"/>
        <v>31.871448650674665</v>
      </c>
      <c r="BL163" s="62">
        <f t="shared" si="92"/>
        <v>31.871448650674665</v>
      </c>
      <c r="BM163" s="62">
        <f t="shared" si="92"/>
        <v>31.871448650674665</v>
      </c>
      <c r="BN163" s="62">
        <f t="shared" si="92"/>
        <v>31.871448650674665</v>
      </c>
      <c r="BO163" s="62">
        <f t="shared" si="92"/>
        <v>51.428997376311848</v>
      </c>
      <c r="BP163" s="62">
        <f t="shared" si="92"/>
        <v>51.428997376311848</v>
      </c>
      <c r="BQ163" s="62">
        <f t="shared" si="92"/>
        <v>53.541158170914542</v>
      </c>
      <c r="BR163" s="62">
        <f t="shared" si="92"/>
        <v>53.541158170914542</v>
      </c>
      <c r="BS163" s="62">
        <f t="shared" si="92"/>
        <v>53.541158170914542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28</v>
      </c>
      <c r="CI168" s="190">
        <f>IF(CI122&gt;0,HLOOKUP(CI122,[1]Trav!$C$11:$O$31,$AU$166),0)</f>
        <v>28</v>
      </c>
      <c r="CJ168" s="190">
        <f>IF(CJ122&gt;0,HLOOKUP(CJ122,[1]Trav!$C$11:$O$31,$AU$166),0)</f>
        <v>28</v>
      </c>
      <c r="CK168" s="190">
        <f>IF(CK122&gt;0,HLOOKUP(CK122,[1]Trav!$C$11:$O$31,$AU$166),0)</f>
        <v>28</v>
      </c>
      <c r="CL168" s="190">
        <f>IF(CL122&gt;0,HLOOKUP(CL122,[1]Trav!$C$11:$O$31,$AU$166),0)</f>
        <v>28</v>
      </c>
      <c r="CM168" s="190">
        <f>IF(CM122&gt;0,HLOOKUP(CM122,[1]Trav!$C$11:$O$31,$AU$166),0)</f>
        <v>28</v>
      </c>
      <c r="CN168" s="190">
        <f>IF(CN122&gt;0,HLOOKUP(CN122,[1]Trav!$C$11:$O$31,$AU$166),0)</f>
        <v>28</v>
      </c>
      <c r="CO168" s="190">
        <f>IF(CO122&gt;0,HLOOKUP(CO122,[1]Trav!$C$11:$O$31,$AU$166),0)</f>
        <v>28</v>
      </c>
      <c r="CP168" s="190">
        <f>IF(CP122&gt;0,HLOOKUP(CP122,[1]Trav!$C$11:$O$31,$AU$166),0)</f>
        <v>28</v>
      </c>
      <c r="CQ168" s="190">
        <f>IF(CQ122&gt;0,HLOOKUP(CQ122,[1]Trav!$C$11:$O$31,$AU$166),0)</f>
        <v>28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156.93520000000001</v>
      </c>
      <c r="D169" s="263">
        <f t="shared" si="50"/>
        <v>148.81786206896552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148.72773011478262</v>
      </c>
      <c r="D170" s="263">
        <f t="shared" si="50"/>
        <v>141.03491648815594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93.535160000000005</v>
      </c>
      <c r="D171" s="263">
        <f t="shared" si="50"/>
        <v>88.697134482758628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177.4</v>
      </c>
      <c r="D172" s="263">
        <f t="shared" si="50"/>
        <v>168.22413793103448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8.2074698852173924</v>
      </c>
      <c r="D173" s="263">
        <f t="shared" si="50"/>
        <v>7.7829455808095958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94.8</v>
      </c>
      <c r="D174" s="263">
        <f t="shared" si="50"/>
        <v>89.896551724137922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-83.864840000000001</v>
      </c>
      <c r="D175" s="263">
        <f>C175*$D$82/$C$82</f>
        <v>-79.527003448275863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83.864840000000001</v>
      </c>
      <c r="D176" s="263">
        <f>C176*$D$82/$C$82</f>
        <v>79.527003448275863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74</v>
      </c>
      <c r="D178" s="173">
        <f>ROUND((D170+D171)/(D170+D172),2)*100</f>
        <v>74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49</v>
      </c>
      <c r="CI178" s="173">
        <f t="shared" si="99"/>
        <v>56</v>
      </c>
      <c r="CJ178" s="173">
        <f t="shared" si="99"/>
        <v>56</v>
      </c>
      <c r="CK178" s="173">
        <f t="shared" si="99"/>
        <v>56</v>
      </c>
      <c r="CL178" s="173">
        <f t="shared" si="99"/>
        <v>35</v>
      </c>
      <c r="CM178" s="173">
        <f t="shared" si="99"/>
        <v>35</v>
      </c>
      <c r="CN178" s="173">
        <f t="shared" si="99"/>
        <v>35</v>
      </c>
      <c r="CO178" s="173">
        <f t="shared" si="99"/>
        <v>35</v>
      </c>
      <c r="CP178" s="173">
        <f t="shared" si="99"/>
        <v>35</v>
      </c>
      <c r="CQ178" s="173">
        <f t="shared" si="99"/>
        <v>35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49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5294</v>
      </c>
      <c r="D183" s="264">
        <f>ROUND(D184*D185,0)</f>
        <v>5014</v>
      </c>
      <c r="E183" s="17" t="s">
        <v>1295</v>
      </c>
    </row>
    <row r="184" spans="1:132" x14ac:dyDescent="0.25">
      <c r="B184" s="14" t="s">
        <v>1296</v>
      </c>
      <c r="C184" s="173">
        <f>Protection!AK26</f>
        <v>22.5</v>
      </c>
      <c r="D184" s="265">
        <f>C184*D82/C82</f>
        <v>21.336206896551722</v>
      </c>
    </row>
    <row r="185" spans="1:132" x14ac:dyDescent="0.25">
      <c r="B185" s="14" t="s">
        <v>1297</v>
      </c>
      <c r="C185" s="173">
        <f>IF(C183=0,0,ROUND(C183/C184,0))</f>
        <v>235</v>
      </c>
      <c r="D185" s="173">
        <f>C185</f>
        <v>235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0.73750000000000004</v>
      </c>
      <c r="D192" s="266">
        <f>ROUND((D183/1000)*([1]Protect!$B$25*8/10+[1]Protect!$B$26),2)/8</f>
        <v>0.70874999999999999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18.875</v>
      </c>
      <c r="D193" s="173">
        <f>C193</f>
        <v>18.875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9556</v>
      </c>
      <c r="D206" s="261">
        <f>ROUND(C206*D$82/C$82,0)</f>
        <v>9062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6601</v>
      </c>
      <c r="D208" s="261">
        <f>ROUND(C208*D$82/C$82,0)</f>
        <v>6260</v>
      </c>
      <c r="S208" s="14" t="s">
        <v>978</v>
      </c>
      <c r="T208" s="30">
        <f>L212</f>
        <v>93.424275862068953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57.048275862068962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49178.1</v>
      </c>
      <c r="D211" s="264">
        <f>ROUND(SUM(D201:D210),0)</f>
        <v>48437</v>
      </c>
      <c r="E211" s="17" t="s">
        <v>1331</v>
      </c>
      <c r="K211" s="40" t="s">
        <v>995</v>
      </c>
      <c r="L211" s="62">
        <f>L209+L210</f>
        <v>93.424275862068953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93.424275862068953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75.209999999999994</v>
      </c>
      <c r="AK216" s="173"/>
      <c r="AL216" s="173"/>
      <c r="AM216" s="173">
        <f>'Calcul éco'!W272</f>
        <v>6</v>
      </c>
      <c r="AN216" s="173">
        <f>AJ216*AM216</f>
        <v>451.26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3275.76</v>
      </c>
      <c r="D217" s="261">
        <f t="shared" si="106"/>
        <v>3106</v>
      </c>
      <c r="G217" s="19" t="s">
        <v>601</v>
      </c>
      <c r="H217" s="19" t="str">
        <f>Troupeau!C3</f>
        <v>BV</v>
      </c>
      <c r="I217" s="30">
        <f>'Calcul éco'!S51</f>
        <v>128</v>
      </c>
      <c r="J217" s="48">
        <f t="shared" ref="J217:J218" si="107">I217*D$82/C$82</f>
        <v>121.37931034482759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23738.259319999997</v>
      </c>
      <c r="D218" s="261">
        <f t="shared" si="106"/>
        <v>22510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3430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476.46</v>
      </c>
      <c r="D220" s="264">
        <f>SUM(AN215:AN219)</f>
        <v>451.26</v>
      </c>
      <c r="E220" s="17" t="s">
        <v>1345</v>
      </c>
      <c r="H220" s="14" t="s">
        <v>1000</v>
      </c>
      <c r="I220" s="30">
        <f>SUM(I216:I219)</f>
        <v>128</v>
      </c>
      <c r="J220" s="30">
        <f>SUM(J216:J219)</f>
        <v>121.37931034482759</v>
      </c>
    </row>
    <row r="221" spans="1:43" x14ac:dyDescent="0.25">
      <c r="B221" s="14" t="s">
        <v>1346</v>
      </c>
      <c r="C221" s="173">
        <f>ROUND(SUM(C216:C220),0)</f>
        <v>71330</v>
      </c>
      <c r="D221" s="264">
        <f>ROUND(SUM(D216:D220),0)</f>
        <v>67640</v>
      </c>
      <c r="E221" s="17" t="s">
        <v>1345</v>
      </c>
      <c r="H221" s="14" t="s">
        <v>1001</v>
      </c>
      <c r="I221" s="30">
        <f>I220*[1]Eco!$B$25</f>
        <v>60.16</v>
      </c>
      <c r="J221" s="30">
        <f>J220*[1]Eco!$B$25</f>
        <v>57.048275862068962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5014</v>
      </c>
      <c r="AL225" t="s">
        <v>1101</v>
      </c>
      <c r="AM225" s="173"/>
      <c r="AN225" s="173">
        <f>[1]Protect!$B$4</f>
        <v>6</v>
      </c>
      <c r="AO225" s="173">
        <f>AK225*AN225</f>
        <v>30084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30084</v>
      </c>
      <c r="AQ228" s="30">
        <f>IF(Scénario!K84=1,MIN(0.8*AO228,[1]Protect!$B$68),IF(Scénario!K84=2,MIN(0.8*AO228,[1]Protect!$B$67),0))</f>
        <v>24067.200000000001</v>
      </c>
      <c r="AR228" s="30">
        <f>AO228-AQ228</f>
        <v>6016.7999999999993</v>
      </c>
      <c r="AS228" s="30">
        <f>(1-Scénario!K127/100)*AR228</f>
        <v>6016.7999999999993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-488.70000000000005</v>
      </c>
      <c r="D230" s="261">
        <f t="shared" si="109"/>
        <v>-463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3846.9969999999998</v>
      </c>
      <c r="D235" s="264">
        <f>(D191+D192)*8*[1]Eco!$B$106</f>
        <v>2237.2961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39066</v>
      </c>
      <c r="D236" s="264">
        <f>ROUND(SUM(D222:D235),0)</f>
        <v>35952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13021.100000000006</v>
      </c>
      <c r="D237" s="264">
        <f>D194+D211-D221-D236</f>
        <v>15244</v>
      </c>
    </row>
    <row r="238" spans="1:49" x14ac:dyDescent="0.25">
      <c r="B238" s="211" t="s">
        <v>1090</v>
      </c>
      <c r="C238" s="173">
        <f>ROUND(C237/Scénario!$K$4,0)</f>
        <v>8681</v>
      </c>
      <c r="D238" s="264">
        <f>ROUND(D237/D83,0)</f>
        <v>7622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783.24271114049111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-762</v>
      </c>
      <c r="D241" s="268">
        <f>ROUND(D237-D239-D240,0)</f>
        <v>2244</v>
      </c>
    </row>
    <row r="242" spans="1:15" x14ac:dyDescent="0.25">
      <c r="B242" s="211" t="s">
        <v>1094</v>
      </c>
      <c r="C242" s="173">
        <f>ROUND(C241/Scénario!K4,0)</f>
        <v>-508</v>
      </c>
      <c r="D242" s="264">
        <f>ROUND(D241/D83,0)</f>
        <v>1122</v>
      </c>
    </row>
    <row r="243" spans="1:15" x14ac:dyDescent="0.25">
      <c r="B243" s="211" t="s">
        <v>1357</v>
      </c>
      <c r="C243" s="173">
        <f>'Calcul éco'!X237+'Calcul éco'!X240</f>
        <v>31764</v>
      </c>
      <c r="D243" s="173">
        <f>C243</f>
        <v>31764</v>
      </c>
    </row>
    <row r="244" spans="1:15" x14ac:dyDescent="0.25">
      <c r="B244" s="211" t="s">
        <v>1358</v>
      </c>
      <c r="C244" s="173">
        <f>'Calcul éco'!AA237+'Calcul éco'!AA240</f>
        <v>6352.7999999999993</v>
      </c>
      <c r="D244" s="173">
        <f>C244</f>
        <v>6352.7999999999993</v>
      </c>
    </row>
    <row r="245" spans="1:15" x14ac:dyDescent="0.25">
      <c r="A245" s="2" t="s">
        <v>1359</v>
      </c>
      <c r="B245" s="14" t="s">
        <v>568</v>
      </c>
      <c r="C245" s="270">
        <f>Travail!F5</f>
        <v>672</v>
      </c>
      <c r="D245" s="173">
        <f>C245</f>
        <v>672</v>
      </c>
    </row>
    <row r="246" spans="1:15" x14ac:dyDescent="0.25">
      <c r="B246" s="14" t="s">
        <v>601</v>
      </c>
      <c r="C246" s="270">
        <f>Travail!F6</f>
        <v>183.75</v>
      </c>
      <c r="D246" s="173">
        <f t="shared" ref="D246:D247" si="112">C246</f>
        <v>183.75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1078.0450434782608</v>
      </c>
      <c r="D248" s="264">
        <f>ROUND(SUM(AV163:BS163),1)</f>
        <v>1061.4000000000001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96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15.647</v>
      </c>
      <c r="L258" s="190">
        <f>IF(K258&gt;[1]Trav!E121,[1]Trav!C121,[1]Trav!B121)</f>
        <v>7.2</v>
      </c>
      <c r="N258" s="274"/>
      <c r="O258">
        <f t="shared" si="114"/>
        <v>112.6584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119</v>
      </c>
      <c r="D267" s="264">
        <f t="shared" si="116"/>
        <v>113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5.9</v>
      </c>
      <c r="D276" s="264">
        <f>D192*8</f>
        <v>5.67</v>
      </c>
    </row>
    <row r="277" spans="1:4" x14ac:dyDescent="0.25">
      <c r="B277" s="32" t="s">
        <v>1418</v>
      </c>
      <c r="C277" s="270">
        <f>Travail!F75+Travail!F81</f>
        <v>151</v>
      </c>
      <c r="D277" s="173">
        <f>C277</f>
        <v>151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3345</v>
      </c>
      <c r="D281" s="264">
        <f>ROUND(D245+D248+D251+D254+D257+D260+D261,0)</f>
        <v>3257</v>
      </c>
    </row>
    <row r="282" spans="1:4" x14ac:dyDescent="0.25">
      <c r="B282" s="14" t="s">
        <v>1372</v>
      </c>
      <c r="C282" s="173">
        <f>ROUND(C246+C249+C252+C255+C258,0)</f>
        <v>886</v>
      </c>
      <c r="D282" s="264">
        <f>ROUND(D246+D249+D252+D255+D258,0)</f>
        <v>785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9.3699999999999992</v>
      </c>
      <c r="D284" s="173">
        <f>ROUND(D281/(Troupeau!$B$17*G63),2)</f>
        <v>9.6199999999999992</v>
      </c>
    </row>
    <row r="285" spans="1:4" x14ac:dyDescent="0.25">
      <c r="B285" s="14" t="s">
        <v>1375</v>
      </c>
      <c r="C285" s="173">
        <f>IF(Troupeau!$C$17=0,0,ROUND(C282/Troupeau!$C$17,2))</f>
        <v>42.19</v>
      </c>
      <c r="D285" s="173">
        <f>IF(Troupeau!$C$17=0,0,ROUND(D282/Troupeau!$C$17*G63,2))</f>
        <v>35.450000000000003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4231</v>
      </c>
      <c r="D287" s="264">
        <f>SUM(D281:D283)</f>
        <v>4042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317</v>
      </c>
      <c r="D289" s="264">
        <f>SUM(D262:D271)</f>
        <v>307</v>
      </c>
    </row>
    <row r="290" spans="2:4" x14ac:dyDescent="0.25">
      <c r="B290" s="14" t="s">
        <v>1420</v>
      </c>
      <c r="C290" s="270">
        <f>C275+C276+C277</f>
        <v>361.70000000000005</v>
      </c>
      <c r="D290" s="277">
        <f>D275+D276+D277</f>
        <v>361.47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5510</v>
      </c>
      <c r="D292" s="264">
        <f>ROUND(SUM(D287:D291),0)</f>
        <v>5310</v>
      </c>
    </row>
    <row r="293" spans="2:4" x14ac:dyDescent="0.25">
      <c r="B293" s="14" t="s">
        <v>874</v>
      </c>
      <c r="C293" s="173">
        <f>ROUND(IF(Scénario!$K$129=1,SUM(C275:C280),SUM(C278:C280)),0)</f>
        <v>362</v>
      </c>
      <c r="D293" s="173">
        <f>ROUND(IF(Scénario!$K$129=1,SUM(D275:D280),SUM(D278:D280)),0)</f>
        <v>361</v>
      </c>
    </row>
    <row r="294" spans="2:4" x14ac:dyDescent="0.25">
      <c r="B294" s="14" t="s">
        <v>875</v>
      </c>
      <c r="C294" s="173">
        <f>ROUND((C292-C293)/C83,0)</f>
        <v>3432</v>
      </c>
      <c r="D294" s="173">
        <f>ROUND((D292-D293)/D83,0)</f>
        <v>2475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104.69724347478262</v>
      </c>
    </row>
    <row r="299" spans="2:4" x14ac:dyDescent="0.25">
      <c r="B299" s="14" t="s">
        <v>1453</v>
      </c>
      <c r="C299" s="173">
        <f>IF(Troupeau!$B$3="OL",CdTrp1!AA221,0)</f>
        <v>0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44.030486639999992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22.5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31764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7" activePane="bottomLeft" state="frozen"/>
      <selection pane="bottomLeft" activeCell="B126" sqref="B126:Y12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56.255000000000003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314.54804347826092</v>
      </c>
      <c r="N63" s="61">
        <f t="shared" si="18"/>
        <v>325.03297826086958</v>
      </c>
      <c r="O63" s="61">
        <f t="shared" si="18"/>
        <v>325.03297826086958</v>
      </c>
      <c r="P63" s="61">
        <f t="shared" si="18"/>
        <v>325.03297826086958</v>
      </c>
      <c r="Q63" s="61">
        <f t="shared" si="18"/>
        <v>325.03297826086958</v>
      </c>
      <c r="R63" s="61">
        <f t="shared" si="18"/>
        <v>314.54804347826092</v>
      </c>
      <c r="S63" s="61">
        <f t="shared" si="18"/>
        <v>314.54804347826092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729</v>
      </c>
      <c r="C73" s="64">
        <f t="shared" ref="C73:Y73" si="28">ROUND(SUM(C63:C72),0)</f>
        <v>722</v>
      </c>
      <c r="D73" s="64">
        <f t="shared" si="28"/>
        <v>646</v>
      </c>
      <c r="E73" s="64">
        <f t="shared" si="28"/>
        <v>347</v>
      </c>
      <c r="F73" s="64">
        <f t="shared" si="28"/>
        <v>382</v>
      </c>
      <c r="G73" s="64">
        <f t="shared" si="28"/>
        <v>380</v>
      </c>
      <c r="H73" s="64">
        <f t="shared" si="28"/>
        <v>366</v>
      </c>
      <c r="I73" s="64">
        <f t="shared" si="28"/>
        <v>365</v>
      </c>
      <c r="J73" s="64">
        <f t="shared" si="28"/>
        <v>426</v>
      </c>
      <c r="K73" s="64">
        <f t="shared" si="28"/>
        <v>369</v>
      </c>
      <c r="L73" s="64">
        <f t="shared" si="28"/>
        <v>357</v>
      </c>
      <c r="M73" s="64">
        <f t="shared" si="28"/>
        <v>357</v>
      </c>
      <c r="N73" s="64">
        <f t="shared" si="28"/>
        <v>369</v>
      </c>
      <c r="O73" s="64">
        <f t="shared" si="28"/>
        <v>369</v>
      </c>
      <c r="P73" s="64">
        <f t="shared" si="28"/>
        <v>369</v>
      </c>
      <c r="Q73" s="64">
        <f t="shared" si="28"/>
        <v>369</v>
      </c>
      <c r="R73" s="64">
        <f t="shared" si="28"/>
        <v>357</v>
      </c>
      <c r="S73" s="64">
        <f t="shared" si="28"/>
        <v>357</v>
      </c>
      <c r="T73" s="64">
        <f t="shared" si="28"/>
        <v>369</v>
      </c>
      <c r="U73" s="64">
        <f t="shared" si="28"/>
        <v>376</v>
      </c>
      <c r="V73" s="64">
        <f t="shared" si="28"/>
        <v>707</v>
      </c>
      <c r="W73" s="64">
        <f t="shared" si="28"/>
        <v>705</v>
      </c>
      <c r="X73" s="64">
        <f t="shared" si="28"/>
        <v>729</v>
      </c>
      <c r="Y73" s="64">
        <f t="shared" si="28"/>
        <v>729</v>
      </c>
      <c r="Z73" s="52"/>
      <c r="AA73" s="56">
        <f>ROUND(SUM(B73:Y73),0)</f>
        <v>11251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Z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0.5</v>
      </c>
      <c r="H123" s="156">
        <v>0.5</v>
      </c>
      <c r="I123" s="156">
        <v>0.5</v>
      </c>
      <c r="J123" s="156">
        <v>0.6</v>
      </c>
      <c r="K123" s="156">
        <v>0.8</v>
      </c>
      <c r="L123" s="156">
        <v>0.9</v>
      </c>
      <c r="M123" s="156">
        <v>0.9</v>
      </c>
      <c r="N123" s="156">
        <v>0.9</v>
      </c>
      <c r="O123" s="156">
        <v>0.9</v>
      </c>
      <c r="P123" s="156">
        <v>0.9</v>
      </c>
      <c r="Q123" s="156">
        <v>0.9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5.2622839180434795</v>
      </c>
      <c r="H136" s="61">
        <f t="shared" si="51"/>
        <v>5.0661466434782616</v>
      </c>
      <c r="I136" s="61">
        <f t="shared" si="51"/>
        <v>5.0397604630434802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0.63349975956521742</v>
      </c>
      <c r="M136" s="61">
        <f t="shared" si="51"/>
        <v>0.63349975956521742</v>
      </c>
      <c r="N136" s="61">
        <f t="shared" si="51"/>
        <v>0.65461641821739125</v>
      </c>
      <c r="O136" s="61">
        <f t="shared" si="51"/>
        <v>0.65461641821739125</v>
      </c>
      <c r="P136" s="61">
        <f t="shared" si="51"/>
        <v>0.65461641821739125</v>
      </c>
      <c r="Q136" s="61">
        <f t="shared" si="51"/>
        <v>0.65461641821739125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126.08107782260871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0.41131366956521737</v>
      </c>
      <c r="E138" s="61">
        <f t="shared" si="52"/>
        <v>0.41131366956521737</v>
      </c>
      <c r="F138" s="61">
        <f t="shared" si="52"/>
        <v>0.45538299130434778</v>
      </c>
      <c r="G138" s="61">
        <f t="shared" si="52"/>
        <v>0.45538299130434778</v>
      </c>
      <c r="H138" s="61">
        <f t="shared" si="52"/>
        <v>0.44069321739130435</v>
      </c>
      <c r="I138" s="61">
        <f t="shared" si="52"/>
        <v>0.44069321739130435</v>
      </c>
      <c r="J138" s="61">
        <f t="shared" si="52"/>
        <v>1.1384574782608696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6.0154624173913049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135.6898849356522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149.25887342921743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5.2622839180434795</v>
      </c>
      <c r="H149" s="61">
        <f t="shared" si="55"/>
        <v>5.0661466434782616</v>
      </c>
      <c r="I149" s="61">
        <f t="shared" si="55"/>
        <v>5.0397604630434802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5.7014978360869577</v>
      </c>
      <c r="M149" s="61">
        <f t="shared" si="55"/>
        <v>5.7014978360869577</v>
      </c>
      <c r="N149" s="61">
        <f t="shared" si="55"/>
        <v>5.891547763956523</v>
      </c>
      <c r="O149" s="61">
        <f t="shared" si="55"/>
        <v>5.891547763956523</v>
      </c>
      <c r="P149" s="61">
        <f t="shared" si="55"/>
        <v>5.891547763956523</v>
      </c>
      <c r="Q149" s="61">
        <f t="shared" si="55"/>
        <v>5.891547763956523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1.1384574782608696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104.69724347478264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5.2622839180434795</v>
      </c>
      <c r="H162" s="61">
        <f t="shared" si="65"/>
        <v>5.0661466434782616</v>
      </c>
      <c r="I162" s="61">
        <f t="shared" si="65"/>
        <v>5.0397604630434802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5.7014978360869577</v>
      </c>
      <c r="M162" s="61">
        <f t="shared" si="65"/>
        <v>5.7014978360869577</v>
      </c>
      <c r="N162" s="61">
        <f t="shared" si="65"/>
        <v>5.891547763956523</v>
      </c>
      <c r="O162" s="61">
        <f t="shared" si="65"/>
        <v>5.891547763956523</v>
      </c>
      <c r="P162" s="61">
        <f t="shared" si="65"/>
        <v>5.891547763956523</v>
      </c>
      <c r="Q162" s="61">
        <f t="shared" si="65"/>
        <v>5.891547763956523</v>
      </c>
      <c r="R162" s="61">
        <f t="shared" si="65"/>
        <v>6.3349975956521751</v>
      </c>
      <c r="S162" s="61">
        <f t="shared" si="65"/>
        <v>6.3349975956521751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0.83194969565217392</v>
      </c>
      <c r="C163" s="61">
        <f t="shared" si="66"/>
        <v>0.83194969565217392</v>
      </c>
      <c r="D163" s="61">
        <f t="shared" si="66"/>
        <v>0.75143843478260874</v>
      </c>
      <c r="E163" s="61">
        <f t="shared" si="66"/>
        <v>0.75143843478260874</v>
      </c>
      <c r="F163" s="61">
        <f t="shared" si="66"/>
        <v>0.83194969565217392</v>
      </c>
      <c r="G163" s="61">
        <f t="shared" si="66"/>
        <v>0.83194969565217392</v>
      </c>
      <c r="H163" s="61">
        <f t="shared" si="66"/>
        <v>0.80511260869565215</v>
      </c>
      <c r="I163" s="61">
        <f t="shared" si="66"/>
        <v>0.80511260869565215</v>
      </c>
      <c r="J163" s="61">
        <f t="shared" si="66"/>
        <v>0.83194969565217392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0.83194969565217392</v>
      </c>
      <c r="V163" s="61">
        <f t="shared" si="66"/>
        <v>0.80511260869565215</v>
      </c>
      <c r="W163" s="61">
        <f t="shared" si="66"/>
        <v>0.80511260869565215</v>
      </c>
      <c r="X163" s="61">
        <f t="shared" si="66"/>
        <v>0.83194969565217392</v>
      </c>
      <c r="Y163" s="61">
        <f t="shared" si="66"/>
        <v>0.83194969565217392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1.1384574782608696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0.83194969565217392</v>
      </c>
      <c r="C172" s="61">
        <f t="shared" ref="C172:Y172" si="75">SUM(C162:C171)</f>
        <v>0.83194969565217392</v>
      </c>
      <c r="D172" s="61">
        <f t="shared" si="75"/>
        <v>0.75143843478260874</v>
      </c>
      <c r="E172" s="61">
        <f t="shared" si="75"/>
        <v>0.75143843478260874</v>
      </c>
      <c r="F172" s="61">
        <f t="shared" si="75"/>
        <v>0.83194969565217392</v>
      </c>
      <c r="G172" s="61">
        <f t="shared" si="75"/>
        <v>6.0942336136956534</v>
      </c>
      <c r="H172" s="61">
        <f t="shared" si="75"/>
        <v>5.871259252173914</v>
      </c>
      <c r="I172" s="61">
        <f t="shared" si="75"/>
        <v>5.8448730717391326</v>
      </c>
      <c r="J172" s="61">
        <f t="shared" si="75"/>
        <v>7.0158149423478262</v>
      </c>
      <c r="K172" s="61">
        <f t="shared" si="75"/>
        <v>6.3753888240000016</v>
      </c>
      <c r="L172" s="61">
        <f t="shared" si="75"/>
        <v>6.8032308795652181</v>
      </c>
      <c r="M172" s="61">
        <f t="shared" si="75"/>
        <v>6.8032308795652181</v>
      </c>
      <c r="N172" s="61">
        <f t="shared" si="75"/>
        <v>7.0300052422173929</v>
      </c>
      <c r="O172" s="61">
        <f t="shared" si="75"/>
        <v>7.0300052422173929</v>
      </c>
      <c r="P172" s="61">
        <f t="shared" si="75"/>
        <v>7.0300052422173929</v>
      </c>
      <c r="Q172" s="61">
        <f t="shared" si="75"/>
        <v>7.0300052422173929</v>
      </c>
      <c r="R172" s="61">
        <f t="shared" si="75"/>
        <v>7.4367306391304364</v>
      </c>
      <c r="S172" s="61">
        <f t="shared" si="75"/>
        <v>7.4367306391304364</v>
      </c>
      <c r="T172" s="61">
        <f t="shared" si="75"/>
        <v>3.7094683363043481</v>
      </c>
      <c r="U172" s="61">
        <f t="shared" si="75"/>
        <v>5.9134108630434792</v>
      </c>
      <c r="V172" s="61">
        <f t="shared" si="75"/>
        <v>0.80511260869565215</v>
      </c>
      <c r="W172" s="61">
        <f t="shared" si="75"/>
        <v>0.80511260869565215</v>
      </c>
      <c r="X172" s="61">
        <f t="shared" si="75"/>
        <v>0.83194969565217392</v>
      </c>
      <c r="Y172" s="61">
        <f t="shared" si="75"/>
        <v>0.83194969565217392</v>
      </c>
      <c r="AA172" s="64">
        <f>SUM(B172:Y172)</f>
        <v>104.69724347478262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0.83194969565217392</v>
      </c>
      <c r="C215" s="61">
        <f t="shared" ref="C215:Y215" si="108">C172</f>
        <v>0.83194969565217392</v>
      </c>
      <c r="D215" s="61">
        <f t="shared" si="108"/>
        <v>0.75143843478260874</v>
      </c>
      <c r="E215" s="61">
        <f t="shared" si="108"/>
        <v>0.75143843478260874</v>
      </c>
      <c r="F215" s="61">
        <f t="shared" si="108"/>
        <v>0.83194969565217392</v>
      </c>
      <c r="G215" s="61">
        <f t="shared" si="108"/>
        <v>6.0942336136956534</v>
      </c>
      <c r="H215" s="61">
        <f t="shared" si="108"/>
        <v>5.871259252173914</v>
      </c>
      <c r="I215" s="61">
        <f t="shared" si="108"/>
        <v>5.8448730717391326</v>
      </c>
      <c r="J215" s="61">
        <f t="shared" si="108"/>
        <v>7.0158149423478262</v>
      </c>
      <c r="K215" s="61">
        <f t="shared" si="108"/>
        <v>6.3753888240000016</v>
      </c>
      <c r="L215" s="61">
        <f t="shared" si="108"/>
        <v>6.8032308795652181</v>
      </c>
      <c r="M215" s="61">
        <f t="shared" si="108"/>
        <v>6.8032308795652181</v>
      </c>
      <c r="N215" s="61">
        <f t="shared" si="108"/>
        <v>7.0300052422173929</v>
      </c>
      <c r="O215" s="61">
        <f t="shared" si="108"/>
        <v>7.0300052422173929</v>
      </c>
      <c r="P215" s="61">
        <f t="shared" si="108"/>
        <v>7.0300052422173929</v>
      </c>
      <c r="Q215" s="61">
        <f t="shared" si="108"/>
        <v>7.0300052422173929</v>
      </c>
      <c r="R215" s="61">
        <f t="shared" si="108"/>
        <v>7.4367306391304364</v>
      </c>
      <c r="S215" s="61">
        <f t="shared" si="108"/>
        <v>7.4367306391304364</v>
      </c>
      <c r="T215" s="61">
        <f t="shared" si="108"/>
        <v>3.7094683363043481</v>
      </c>
      <c r="U215" s="61">
        <f t="shared" si="108"/>
        <v>5.9134108630434792</v>
      </c>
      <c r="V215" s="61">
        <f t="shared" si="108"/>
        <v>0.80511260869565215</v>
      </c>
      <c r="W215" s="61">
        <f t="shared" si="108"/>
        <v>0.80511260869565215</v>
      </c>
      <c r="X215" s="61">
        <f t="shared" si="108"/>
        <v>0.83194969565217392</v>
      </c>
      <c r="Y215" s="61">
        <f t="shared" si="108"/>
        <v>0.83194969565217392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104.69724347478262</v>
      </c>
      <c r="AB219" t="s">
        <v>222</v>
      </c>
    </row>
    <row r="220" spans="1:28" x14ac:dyDescent="0.25">
      <c r="AA220" s="30">
        <f>SUM(B215:Y217)</f>
        <v>104.69724347478262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H76" sqref="H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4</v>
      </c>
      <c r="S76" s="60">
        <v>4</v>
      </c>
      <c r="T76" s="60">
        <v>2</v>
      </c>
      <c r="U76" s="60">
        <v>2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2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3.5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2.5983279000000001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0.1481025</v>
      </c>
      <c r="U172" s="61">
        <f t="shared" si="57"/>
        <v>0.1481025</v>
      </c>
      <c r="V172" s="61">
        <f t="shared" si="57"/>
        <v>5.7329999999999999E-2</v>
      </c>
      <c r="W172" s="61">
        <f t="shared" si="57"/>
        <v>2.8665E-2</v>
      </c>
      <c r="X172" s="61">
        <f t="shared" si="57"/>
        <v>0</v>
      </c>
      <c r="Y172" s="61">
        <f t="shared" si="57"/>
        <v>0</v>
      </c>
      <c r="AA172" s="64">
        <f>SUM(B172:Y172)</f>
        <v>3.3245079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1.4338144800000001</v>
      </c>
      <c r="U175" s="61">
        <f t="shared" si="58"/>
        <v>1.47318696</v>
      </c>
      <c r="V175" s="61">
        <f t="shared" si="58"/>
        <v>1.5450875999999998</v>
      </c>
      <c r="W175" s="61">
        <f t="shared" si="58"/>
        <v>1.5752519999999999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0.11466</v>
      </c>
      <c r="I176" s="61">
        <f t="shared" si="59"/>
        <v>0.17198999999999998</v>
      </c>
      <c r="J176" s="61">
        <f t="shared" si="59"/>
        <v>0.17772299999999996</v>
      </c>
      <c r="K176" s="61">
        <f t="shared" si="59"/>
        <v>0.17772299999999996</v>
      </c>
      <c r="L176" s="61">
        <f t="shared" si="59"/>
        <v>0.17198999999999998</v>
      </c>
      <c r="M176" s="61">
        <f t="shared" si="59"/>
        <v>0.17198999999999998</v>
      </c>
      <c r="N176" s="61">
        <f t="shared" si="59"/>
        <v>0.17772299999999996</v>
      </c>
      <c r="O176" s="61">
        <f t="shared" si="59"/>
        <v>0.17772299999999996</v>
      </c>
      <c r="P176" s="61">
        <f t="shared" si="59"/>
        <v>0.17772299999999996</v>
      </c>
      <c r="Q176" s="61">
        <f t="shared" si="59"/>
        <v>0.17772299999999996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1.4217839999999997</v>
      </c>
      <c r="V177" s="61">
        <f t="shared" si="60"/>
        <v>1.3759199999999998</v>
      </c>
      <c r="W177" s="61">
        <f t="shared" si="60"/>
        <v>1.3759199999999998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1.4905799999999998</v>
      </c>
      <c r="I185" s="61">
        <f>SUM(CdTrp2!I175:I184)</f>
        <v>4.0934501999999995</v>
      </c>
      <c r="J185" s="61">
        <f>SUM(CdTrp2!J175:J184)</f>
        <v>4.1753512500000003</v>
      </c>
      <c r="K185" s="61">
        <f>SUM(CdTrp2!K175:K184)</f>
        <v>4.1753512500000003</v>
      </c>
      <c r="L185" s="61">
        <f>SUM(CdTrp2!L175:L184)</f>
        <v>1.5479099999999999</v>
      </c>
      <c r="M185" s="61">
        <f>SUM(CdTrp2!M175:M184)</f>
        <v>1.5479099999999999</v>
      </c>
      <c r="N185" s="61">
        <f>SUM(CdTrp2!N175:N184)</f>
        <v>1.5995069999999996</v>
      </c>
      <c r="O185" s="61">
        <f>SUM(CdTrp2!O175:O184)</f>
        <v>1.5995069999999996</v>
      </c>
      <c r="P185" s="61">
        <f>SUM(CdTrp2!P175:P184)</f>
        <v>1.5995069999999996</v>
      </c>
      <c r="Q185" s="61">
        <f>SUM(CdTrp2!Q175:Q184)</f>
        <v>1.5995069999999996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2.8555984799999998</v>
      </c>
      <c r="U185" s="61">
        <f>SUM(CdTrp2!U175:U184)</f>
        <v>2.8949709599999998</v>
      </c>
      <c r="V185" s="61">
        <f>SUM(CdTrp2!V175:V184)</f>
        <v>2.9210075999999994</v>
      </c>
      <c r="W185" s="61">
        <f>SUM(CdTrp2!W175:W184)</f>
        <v>2.9511719999999997</v>
      </c>
      <c r="X185" s="61">
        <f>SUM(CdTrp2!X175:X184)</f>
        <v>0</v>
      </c>
      <c r="Y185" s="61">
        <f>SUM(CdTrp2!Y175:Y184)</f>
        <v>0</v>
      </c>
      <c r="AA185" s="64">
        <f>SUM(B185:Y185)</f>
        <v>40.705978739999992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2.5983279000000001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0.1481025</v>
      </c>
      <c r="U215" s="61">
        <f t="shared" si="90"/>
        <v>0.1481025</v>
      </c>
      <c r="V215" s="61">
        <f t="shared" si="90"/>
        <v>5.7329999999999999E-2</v>
      </c>
      <c r="W215" s="61">
        <f t="shared" si="90"/>
        <v>2.8665E-2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1.4905799999999998</v>
      </c>
      <c r="I216" s="61">
        <f t="shared" si="91"/>
        <v>4.0934501999999995</v>
      </c>
      <c r="J216" s="61">
        <f t="shared" si="91"/>
        <v>4.1753512500000003</v>
      </c>
      <c r="K216" s="61">
        <f t="shared" si="91"/>
        <v>4.1753512500000003</v>
      </c>
      <c r="L216" s="61">
        <f t="shared" si="91"/>
        <v>1.5479099999999999</v>
      </c>
      <c r="M216" s="61">
        <f t="shared" si="91"/>
        <v>1.5479099999999999</v>
      </c>
      <c r="N216" s="61">
        <f t="shared" si="91"/>
        <v>1.5995069999999996</v>
      </c>
      <c r="O216" s="61">
        <f t="shared" si="91"/>
        <v>1.5995069999999996</v>
      </c>
      <c r="P216" s="61">
        <f t="shared" si="91"/>
        <v>1.5995069999999996</v>
      </c>
      <c r="Q216" s="61">
        <f t="shared" si="91"/>
        <v>1.5995069999999996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2.8555984799999998</v>
      </c>
      <c r="U216" s="61">
        <f t="shared" si="91"/>
        <v>2.8949709599999998</v>
      </c>
      <c r="V216" s="61">
        <f t="shared" si="91"/>
        <v>2.9210075999999994</v>
      </c>
      <c r="W216" s="61">
        <f t="shared" si="91"/>
        <v>2.9511719999999997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63.560528640000001</v>
      </c>
      <c r="AB219" t="s">
        <v>222</v>
      </c>
    </row>
    <row r="220" spans="1:28" x14ac:dyDescent="0.25">
      <c r="AA220" s="30">
        <f>SUM(B215:Y217)</f>
        <v>44.030486639999992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2023-01-09T10:32:07Z</dcterms:modified>
</cp:coreProperties>
</file>