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50" r:id="rId19"/>
  </pivotCaches>
</workbook>
</file>

<file path=xl/calcChain.xml><?xml version="1.0" encoding="utf-8"?>
<calcChain xmlns="http://schemas.openxmlformats.org/spreadsheetml/2006/main"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/>
  <c r="BF30" i="29" s="1"/>
  <c r="BG12" i="29" l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I9" i="29" l="1"/>
  <c r="BJ25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O7" i="23" l="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X30" i="29"/>
  <c r="W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L29" i="29"/>
  <c r="K29" i="29"/>
  <c r="J29" i="29"/>
  <c r="I29" i="29"/>
  <c r="H29" i="29"/>
  <c r="G29" i="29"/>
  <c r="F29" i="29"/>
  <c r="E29" i="29"/>
  <c r="D29" i="29"/>
  <c r="C29" i="29"/>
  <c r="C10" i="29"/>
  <c r="Z9" i="29"/>
  <c r="Y9" i="29"/>
  <c r="H9" i="29"/>
  <c r="G9" i="29"/>
  <c r="F9" i="29"/>
  <c r="E9" i="29"/>
  <c r="D9" i="29"/>
  <c r="C9" i="29"/>
  <c r="Z8" i="29"/>
  <c r="Y8" i="29"/>
  <c r="H8" i="29"/>
  <c r="G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1" i="31"/>
  <c r="Y171" i="31"/>
  <c r="X171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1" i="28"/>
  <c r="Y171" i="28"/>
  <c r="X171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F77" i="30"/>
  <c r="F75" i="30"/>
  <c r="D278" i="33" l="1"/>
  <c r="D256" i="33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F87" i="30" s="1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T236" i="31"/>
  <c r="C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AF145" i="31" l="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K110" i="31" s="1"/>
  <c r="CV16" i="30"/>
  <c r="BE17" i="30"/>
  <c r="BP15" i="30"/>
  <c r="BM17" i="30"/>
  <c r="AY90" i="30"/>
  <c r="AY99" i="30" s="1"/>
  <c r="AY100" i="30" s="1"/>
  <c r="AY101" i="30" s="1"/>
  <c r="AW17" i="30"/>
  <c r="BD90" i="30"/>
  <c r="D188" i="33"/>
  <c r="AJ219" i="33" s="1"/>
  <c r="AN219" i="33" s="1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X167" i="31"/>
  <c r="AA167" i="31" s="1"/>
  <c r="Y167" i="31"/>
  <c r="AB167" i="31" s="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AA168" i="31" s="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V165" i="31" s="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Y187" i="31"/>
  <c r="AB187" i="31" s="1"/>
  <c r="T187" i="31"/>
  <c r="AF187" i="31" s="1"/>
  <c r="X187" i="31"/>
  <c r="AA187" i="31" s="1"/>
  <c r="Z191" i="31"/>
  <c r="AC191" i="31" s="1"/>
  <c r="Y191" i="31"/>
  <c r="AB191" i="31" s="1"/>
  <c r="T191" i="31"/>
  <c r="X191" i="31"/>
  <c r="AA191" i="31" s="1"/>
  <c r="Z187" i="28"/>
  <c r="T187" i="28"/>
  <c r="Y187" i="28"/>
  <c r="AB187" i="28" s="1"/>
  <c r="X187" i="28"/>
  <c r="AA187" i="28" s="1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AF188" i="31" s="1"/>
  <c r="T192" i="31"/>
  <c r="X192" i="31"/>
  <c r="AA192" i="31" s="1"/>
  <c r="Z192" i="31"/>
  <c r="AC192" i="31" s="1"/>
  <c r="Y192" i="31"/>
  <c r="AB192" i="31" s="1"/>
  <c r="Z188" i="28"/>
  <c r="AC188" i="28" s="1"/>
  <c r="Y188" i="28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AC189" i="31" s="1"/>
  <c r="Y189" i="3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W186" i="31" s="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Y198" i="31"/>
  <c r="T198" i="31"/>
  <c r="X198" i="31"/>
  <c r="AA198" i="31" s="1"/>
  <c r="T198" i="28"/>
  <c r="AJ198" i="28" s="1"/>
  <c r="X198" i="28"/>
  <c r="Z198" i="28"/>
  <c r="AC198" i="28" s="1"/>
  <c r="Y198" i="28"/>
  <c r="AB198" i="28" s="1"/>
  <c r="Z197" i="31"/>
  <c r="AC197" i="31" s="1"/>
  <c r="Y197" i="31"/>
  <c r="AB197" i="31" s="1"/>
  <c r="X197" i="31"/>
  <c r="AA197" i="31" s="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AB195" i="31" s="1"/>
  <c r="Z195" i="28"/>
  <c r="AC195" i="28" s="1"/>
  <c r="Y195" i="28"/>
  <c r="AB195" i="28" s="1"/>
  <c r="X195" i="28"/>
  <c r="AA195" i="28" s="1"/>
  <c r="T195" i="28"/>
  <c r="AF195" i="28" s="1"/>
  <c r="Z194" i="28"/>
  <c r="Y194" i="28"/>
  <c r="AB194" i="28" s="1"/>
  <c r="T194" i="28"/>
  <c r="V194" i="28" s="1"/>
  <c r="X194" i="28"/>
  <c r="AA194" i="28" s="1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Y173" i="31"/>
  <c r="AB173" i="31" s="1"/>
  <c r="T173" i="31"/>
  <c r="AG173" i="31" s="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W172" i="31" s="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AB188" i="28"/>
  <c r="S4" i="29"/>
  <c r="S8" i="29" s="1"/>
  <c r="S20" i="29"/>
  <c r="AC171" i="28"/>
  <c r="AB171" i="28"/>
  <c r="AA171" i="28"/>
  <c r="AB171" i="31"/>
  <c r="AA171" i="31"/>
  <c r="AC171" i="31"/>
  <c r="AB189" i="31"/>
  <c r="AA166" i="28"/>
  <c r="AC166" i="31"/>
  <c r="K113" i="31"/>
  <c r="AA186" i="28"/>
  <c r="AC187" i="28"/>
  <c r="AC187" i="31"/>
  <c r="AC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B176" i="31"/>
  <c r="AA176" i="31"/>
  <c r="AJ176" i="31"/>
  <c r="AC176" i="31"/>
  <c r="AC180" i="31"/>
  <c r="AA180" i="31"/>
  <c r="AB180" i="31"/>
  <c r="AB184" i="31"/>
  <c r="U184" i="31"/>
  <c r="AC184" i="31"/>
  <c r="AB196" i="31"/>
  <c r="AB200" i="31"/>
  <c r="AA200" i="31"/>
  <c r="AF200" i="31"/>
  <c r="AC200" i="31"/>
  <c r="AC204" i="31"/>
  <c r="AA204" i="31"/>
  <c r="AB204" i="31"/>
  <c r="C187" i="33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C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O8" i="29" s="1"/>
  <c r="W5" i="29"/>
  <c r="W9" i="29" s="1"/>
  <c r="W20" i="29"/>
  <c r="W21" i="29" s="1"/>
  <c r="W7" i="29" s="1"/>
  <c r="W12" i="29" s="1"/>
  <c r="W4" i="29"/>
  <c r="W3" i="29"/>
  <c r="G26" i="29"/>
  <c r="G25" i="29"/>
  <c r="O26" i="29"/>
  <c r="O30" i="29" s="1"/>
  <c r="O25" i="29"/>
  <c r="O29" i="29" s="1"/>
  <c r="W26" i="29"/>
  <c r="W25" i="29"/>
  <c r="P5" i="29"/>
  <c r="P9" i="29" s="1"/>
  <c r="P20" i="29"/>
  <c r="P21" i="29" s="1"/>
  <c r="P7" i="29" s="1"/>
  <c r="P12" i="29" s="1"/>
  <c r="P4" i="29"/>
  <c r="P3" i="29"/>
  <c r="P8" i="29" s="1"/>
  <c r="X26" i="29"/>
  <c r="X25" i="29"/>
  <c r="H5" i="29"/>
  <c r="H20" i="29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E12" i="29" s="1"/>
  <c r="M4" i="29"/>
  <c r="M5" i="29"/>
  <c r="M9" i="29" s="1"/>
  <c r="M3" i="29"/>
  <c r="M8" i="29" s="1"/>
  <c r="M20" i="29"/>
  <c r="M21" i="29" s="1"/>
  <c r="M7" i="29" s="1"/>
  <c r="M12" i="29" s="1"/>
  <c r="U3" i="29"/>
  <c r="U8" i="29" s="1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U29" i="29" s="1"/>
  <c r="C3" i="29"/>
  <c r="C201" i="29" s="1"/>
  <c r="S25" i="29"/>
  <c r="S29" i="29" s="1"/>
  <c r="F5" i="29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D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74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DI71" i="30"/>
  <c r="DQ71" i="30"/>
  <c r="DY71" i="30"/>
  <c r="AV62" i="30"/>
  <c r="AV108" i="30" s="1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AA259" i="31" s="1"/>
  <c r="Z257" i="31"/>
  <c r="AA257" i="31" s="1"/>
  <c r="AI205" i="31"/>
  <c r="AI181" i="31"/>
  <c r="W197" i="31"/>
  <c r="AJ205" i="31"/>
  <c r="X246" i="31"/>
  <c r="AB207" i="31"/>
  <c r="X235" i="31"/>
  <c r="C308" i="33" s="1"/>
  <c r="X236" i="31"/>
  <c r="C309" i="33" s="1"/>
  <c r="T275" i="31"/>
  <c r="X275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Y26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Z25" i="28"/>
  <c r="W27" i="28"/>
  <c r="Y29" i="28"/>
  <c r="AB31" i="28"/>
  <c r="AC32" i="28"/>
  <c r="AB33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C194" i="28"/>
  <c r="T14" i="7"/>
  <c r="T13" i="7"/>
  <c r="T12" i="7"/>
  <c r="T11" i="7"/>
  <c r="T8" i="29" l="1"/>
  <c r="Q8" i="29"/>
  <c r="R8" i="29"/>
  <c r="AK227" i="33"/>
  <c r="AO227" i="33" s="1"/>
  <c r="N8" i="29"/>
  <c r="AJ173" i="31"/>
  <c r="AG197" i="31"/>
  <c r="V173" i="31"/>
  <c r="AF197" i="31"/>
  <c r="W173" i="31"/>
  <c r="AF173" i="31"/>
  <c r="U197" i="31"/>
  <c r="BC107" i="30"/>
  <c r="CW108" i="30"/>
  <c r="CH108" i="30"/>
  <c r="CS107" i="30"/>
  <c r="CN107" i="30"/>
  <c r="CT106" i="30"/>
  <c r="CJ106" i="30"/>
  <c r="CO106" i="30"/>
  <c r="BB107" i="30"/>
  <c r="BG108" i="30"/>
  <c r="BI108" i="30"/>
  <c r="AZ109" i="30"/>
  <c r="CR108" i="30"/>
  <c r="CK107" i="30"/>
  <c r="AY107" i="30"/>
  <c r="BD109" i="30"/>
  <c r="BB109" i="30"/>
  <c r="BH106" i="30"/>
  <c r="BH108" i="30"/>
  <c r="BM106" i="30"/>
  <c r="CV108" i="30"/>
  <c r="CT108" i="30"/>
  <c r="CT107" i="30"/>
  <c r="CH107" i="30"/>
  <c r="BE108" i="30"/>
  <c r="CJ108" i="30"/>
  <c r="CQ106" i="30"/>
  <c r="BQ109" i="30"/>
  <c r="BD108" i="30"/>
  <c r="AX107" i="30"/>
  <c r="BF106" i="30"/>
  <c r="CF108" i="30"/>
  <c r="CL108" i="30"/>
  <c r="CQ108" i="30"/>
  <c r="CL107" i="30"/>
  <c r="CR107" i="30"/>
  <c r="CW107" i="30"/>
  <c r="CP106" i="30"/>
  <c r="BB106" i="30"/>
  <c r="CP107" i="30"/>
  <c r="BC109" i="30"/>
  <c r="BP109" i="30"/>
  <c r="AZ106" i="30"/>
  <c r="BD107" i="30"/>
  <c r="BE106" i="30"/>
  <c r="CU108" i="30"/>
  <c r="CI108" i="30"/>
  <c r="CO107" i="30"/>
  <c r="CU106" i="30"/>
  <c r="BD106" i="30"/>
  <c r="BL108" i="30"/>
  <c r="BB108" i="30"/>
  <c r="CV106" i="30"/>
  <c r="BA109" i="30"/>
  <c r="BA108" i="30"/>
  <c r="BI106" i="30"/>
  <c r="BN108" i="30"/>
  <c r="CM108" i="30"/>
  <c r="CS108" i="30"/>
  <c r="CU107" i="30"/>
  <c r="CG107" i="30"/>
  <c r="CH106" i="30"/>
  <c r="CM106" i="30"/>
  <c r="CE108" i="30"/>
  <c r="BJ106" i="30"/>
  <c r="BN106" i="30"/>
  <c r="CM107" i="30"/>
  <c r="CS106" i="30"/>
  <c r="BA106" i="30"/>
  <c r="BR109" i="30"/>
  <c r="AV107" i="30"/>
  <c r="CQ107" i="30"/>
  <c r="CR106" i="30"/>
  <c r="CW106" i="30"/>
  <c r="AC25" i="28"/>
  <c r="AC34" i="28" s="1"/>
  <c r="K39" i="28" s="1"/>
  <c r="C96" i="33" s="1"/>
  <c r="W25" i="28"/>
  <c r="W34" i="28" s="1"/>
  <c r="K34" i="28" s="1"/>
  <c r="C90" i="33" s="1"/>
  <c r="Y25" i="28"/>
  <c r="X25" i="28"/>
  <c r="X34" i="28" s="1"/>
  <c r="K35" i="28" s="1"/>
  <c r="C91" i="33" s="1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D187" i="33"/>
  <c r="AJ218" i="33" s="1"/>
  <c r="AN218" i="33" s="1"/>
  <c r="V8" i="29"/>
  <c r="V201" i="29" s="1"/>
  <c r="W8" i="29"/>
  <c r="W201" i="29" s="1"/>
  <c r="J8" i="29"/>
  <c r="J201" i="29" s="1"/>
  <c r="K8" i="29"/>
  <c r="K201" i="29" s="1"/>
  <c r="I8" i="29"/>
  <c r="I201" i="29" s="1"/>
  <c r="U195" i="28"/>
  <c r="L8" i="29"/>
  <c r="L201" i="29" s="1"/>
  <c r="BB71" i="30"/>
  <c r="BB81" i="30" s="1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E201" i="29"/>
  <c r="E212" i="29" s="1"/>
  <c r="N201" i="29"/>
  <c r="P201" i="29"/>
  <c r="Q201" i="29"/>
  <c r="M201" i="29"/>
  <c r="U167" i="28"/>
  <c r="V167" i="28"/>
  <c r="W167" i="28"/>
  <c r="AF188" i="28"/>
  <c r="V188" i="28"/>
  <c r="W188" i="28"/>
  <c r="AN215" i="33"/>
  <c r="C6" i="29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D291" i="33"/>
  <c r="D293" i="33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K226" i="33" l="1"/>
  <c r="AO226" i="33" s="1"/>
  <c r="B52" i="30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D2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D85" i="30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K48" i="28" l="1"/>
  <c r="BA85" i="30"/>
  <c r="CQ85" i="30"/>
  <c r="C71" i="33"/>
  <c r="C74" i="33" s="1"/>
  <c r="CM85" i="30"/>
  <c r="CM87" i="30" s="1"/>
  <c r="CR85" i="30"/>
  <c r="CR86" i="30" s="1"/>
  <c r="BC85" i="30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C87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AC240" i="31" l="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S13" i="30" s="1"/>
  <c r="CS102" i="30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U87" i="27"/>
  <c r="N13" i="30"/>
  <c r="H13" i="30"/>
  <c r="V13" i="30"/>
  <c r="O13" i="30"/>
  <c r="K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189" i="33"/>
  <c r="F81" i="30"/>
  <c r="D189" i="33" l="1"/>
  <c r="AK189" i="33" s="1"/>
  <c r="AO189" i="33" s="1"/>
  <c r="AO192" i="33" s="1"/>
  <c r="C277" i="33"/>
  <c r="C193" i="33"/>
  <c r="CF153" i="33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B114" i="30"/>
  <c r="CD152" i="33"/>
  <c r="CG153" i="33"/>
  <c r="CE153" i="33"/>
  <c r="CF152" i="33"/>
  <c r="CX152" i="33"/>
  <c r="J141" i="31"/>
  <c r="C219" i="33" s="1"/>
  <c r="X248" i="31"/>
  <c r="D277" i="33" l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J46" i="31" l="1"/>
  <c r="C210" i="33" s="1"/>
  <c r="D193" i="33"/>
  <c r="B113" i="30"/>
  <c r="B125" i="30" s="1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D245" i="33" l="1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V265" i="31"/>
  <c r="V264" i="31"/>
  <c r="F9" i="30"/>
  <c r="C248" i="33" s="1"/>
  <c r="I66" i="7"/>
  <c r="J66" i="7"/>
  <c r="O66" i="7"/>
  <c r="P66" i="7"/>
  <c r="Q66" i="7"/>
  <c r="G66" i="7"/>
  <c r="B91" i="30" l="1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P201" i="24" l="1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2" i="24"/>
  <c r="U215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J170" i="31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C236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BA78" i="33" s="1"/>
  <c r="CW64" i="33"/>
  <c r="AZ64" i="33"/>
  <c r="CU72" i="33"/>
  <c r="CU84" i="33" s="1"/>
  <c r="DG65" i="33"/>
  <c r="DG76" i="33" s="1"/>
  <c r="CG72" i="33"/>
  <c r="CG84" i="33" s="1"/>
  <c r="BC65" i="33"/>
  <c r="BC76" i="33" s="1"/>
  <c r="BB71" i="33"/>
  <c r="BB82" i="33" s="1"/>
  <c r="CT68" i="33"/>
  <c r="CT79" i="33" s="1"/>
  <c r="BA68" i="33"/>
  <c r="BA79" i="33" s="1"/>
  <c r="CV65" i="33"/>
  <c r="AZ65" i="33"/>
  <c r="AZ76" i="33" s="1"/>
  <c r="AY72" i="33"/>
  <c r="AY84" i="33" s="1"/>
  <c r="CJ67" i="33"/>
  <c r="CJ78" i="33" s="1"/>
  <c r="BS73" i="33"/>
  <c r="BS85" i="33" s="1"/>
  <c r="BA65" i="33"/>
  <c r="BA76" i="33" s="1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BR78" i="33" s="1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Q76" i="33" s="1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M75" i="33" s="1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BI75" i="33" s="1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AX78" i="33" s="1"/>
  <c r="CD64" i="33"/>
  <c r="DM71" i="33"/>
  <c r="DM82" i="33" s="1"/>
  <c r="BD70" i="33"/>
  <c r="BD81" i="33" s="1"/>
  <c r="DS67" i="33"/>
  <c r="DS78" i="33" s="1"/>
  <c r="BQ67" i="33"/>
  <c r="BQ78" i="33" s="1"/>
  <c r="BO67" i="33"/>
  <c r="BO78" i="33" s="1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B76" i="33" s="1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BB78" i="33" s="1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AY76" i="33" s="1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S76" i="33" s="1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S78" i="33" s="1"/>
  <c r="BR73" i="33"/>
  <c r="BR85" i="33" s="1"/>
  <c r="DX68" i="33"/>
  <c r="DX79" i="33" s="1"/>
  <c r="BQ70" i="33"/>
  <c r="BQ81" i="33" s="1"/>
  <c r="CK68" i="33"/>
  <c r="CK79" i="33" s="1"/>
  <c r="BP67" i="33"/>
  <c r="BP78" i="33" s="1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AV76" i="33" s="1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BD76" i="33" s="1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BD78" i="33" s="1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AZ78" i="33" s="1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BR76" i="33" s="1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BL75" i="33" s="1"/>
  <c r="CQ66" i="33"/>
  <c r="CQ77" i="33" s="1"/>
  <c r="BG64" i="33"/>
  <c r="BG75" i="33" s="1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BK75" i="33" s="1"/>
  <c r="DY71" i="33"/>
  <c r="DY82" i="33" s="1"/>
  <c r="BC69" i="33"/>
  <c r="BC80" i="33" s="1"/>
  <c r="BN72" i="33"/>
  <c r="BN84" i="33" s="1"/>
  <c r="CK64" i="33"/>
  <c r="AY67" i="33"/>
  <c r="AY78" i="33" s="1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BH75" i="33" s="1"/>
  <c r="DY72" i="33"/>
  <c r="DY84" i="33" s="1"/>
  <c r="BS66" i="33"/>
  <c r="BA71" i="33"/>
  <c r="BA82" i="33" s="1"/>
  <c r="CL66" i="33"/>
  <c r="CL77" i="33" s="1"/>
  <c r="DR67" i="33"/>
  <c r="DR78" i="33" s="1"/>
  <c r="BJ64" i="33"/>
  <c r="BJ75" i="33" s="1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AW78" i="33" s="1"/>
  <c r="DK71" i="33"/>
  <c r="DK82" i="33" s="1"/>
  <c r="AV71" i="33"/>
  <c r="AV82" i="33" s="1"/>
  <c r="BN71" i="33"/>
  <c r="BN82" i="33" s="1"/>
  <c r="BD64" i="33"/>
  <c r="AX65" i="33"/>
  <c r="AX76" i="33" s="1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BC78" i="33" s="1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W76" i="33" s="1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AV78" i="33" s="1"/>
  <c r="BS64" i="33"/>
  <c r="BO65" i="33"/>
  <c r="BO76" i="33" s="1"/>
  <c r="BQ64" i="33"/>
  <c r="BO64" i="33"/>
  <c r="BP65" i="33"/>
  <c r="BP76" i="33" s="1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L211" i="33" l="1"/>
  <c r="L212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D124" i="33"/>
  <c r="BD170" i="33" s="1"/>
  <c r="BD135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P160" i="33" s="1"/>
  <c r="BP161" i="33" s="1"/>
  <c r="BP162" i="33" s="1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160" i="33" s="1"/>
  <c r="BK161" i="33" s="1"/>
  <c r="BK162" i="33" s="1"/>
  <c r="BK77" i="33"/>
  <c r="DG130" i="33"/>
  <c r="DG176" i="33" s="1"/>
  <c r="DG141" i="33"/>
  <c r="DE127" i="33"/>
  <c r="DE173" i="33" s="1"/>
  <c r="DE138" i="33"/>
  <c r="BH153" i="33"/>
  <c r="BH160" i="33" s="1"/>
  <c r="BH161" i="33" s="1"/>
  <c r="BH162" i="33" s="1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BK121" i="33"/>
  <c r="BK167" i="33" s="1"/>
  <c r="BK132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AW135" i="33"/>
  <c r="CY125" i="33"/>
  <c r="CY171" i="33" s="1"/>
  <c r="CY136" i="33"/>
  <c r="BH121" i="33"/>
  <c r="BH167" i="33" s="1"/>
  <c r="BH132" i="33"/>
  <c r="DM122" i="33"/>
  <c r="DM168" i="33" s="1"/>
  <c r="DM133" i="33"/>
  <c r="AY124" i="33"/>
  <c r="AY170" i="33" s="1"/>
  <c r="AY135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160" i="33" s="1"/>
  <c r="BG161" i="33" s="1"/>
  <c r="BG162" i="33" s="1"/>
  <c r="BG77" i="33"/>
  <c r="CT125" i="33"/>
  <c r="CT171" i="33" s="1"/>
  <c r="CT136" i="33"/>
  <c r="BA124" i="33"/>
  <c r="BA170" i="33" s="1"/>
  <c r="BA135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160" i="33" s="1"/>
  <c r="BN161" i="33" s="1"/>
  <c r="BN162" i="33" s="1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AX124" i="33"/>
  <c r="AX170" i="33" s="1"/>
  <c r="AX135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BI160" i="33" s="1"/>
  <c r="BI161" i="33" s="1"/>
  <c r="BI162" i="33" s="1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D20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BI121" i="33"/>
  <c r="BI167" i="33" s="1"/>
  <c r="BI132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160" i="33" s="1"/>
  <c r="BO161" i="33" s="1"/>
  <c r="BO162" i="33" s="1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J121" i="33"/>
  <c r="BJ167" i="33" s="1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AZ124" i="33"/>
  <c r="AZ170" i="33" s="1"/>
  <c r="AZ135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BJ160" i="33" s="1"/>
  <c r="BJ161" i="33" s="1"/>
  <c r="BJ162" i="33" s="1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AW160" i="33" l="1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BH143" i="33" s="1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J144" i="33" l="1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6" i="33" s="1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6" i="33" s="1"/>
  <c r="BR144" i="33"/>
  <c r="BR145" i="33"/>
  <c r="DL146" i="33"/>
  <c r="BK142" i="33"/>
  <c r="BQ178" i="33"/>
  <c r="DE146" i="33"/>
  <c r="DF146" i="33"/>
  <c r="CM146" i="33"/>
  <c r="AZ142" i="33"/>
  <c r="AZ146" i="33" s="1"/>
  <c r="AZ144" i="33"/>
  <c r="AZ143" i="33"/>
  <c r="AZ145" i="33"/>
  <c r="BC178" i="33"/>
  <c r="CX144" i="33"/>
  <c r="CX145" i="33"/>
  <c r="CX143" i="33"/>
  <c r="CX142" i="33"/>
  <c r="CX146" i="33" s="1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6" i="33" s="1"/>
  <c r="BQ143" i="33"/>
  <c r="BQ145" i="33"/>
  <c r="BQ144" i="33"/>
  <c r="AY143" i="33"/>
  <c r="AY145" i="33"/>
  <c r="AY142" i="33"/>
  <c r="AY146" i="33" s="1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6" i="33" s="1"/>
  <c r="CB144" i="33"/>
  <c r="CB143" i="33"/>
  <c r="DW146" i="33"/>
  <c r="AZ178" i="33"/>
  <c r="CC145" i="33"/>
  <c r="CC143" i="33"/>
  <c r="CC142" i="33"/>
  <c r="CC146" i="33" s="1"/>
  <c r="CC144" i="33"/>
  <c r="CH142" i="33"/>
  <c r="CH144" i="33"/>
  <c r="CH145" i="33"/>
  <c r="CH143" i="33"/>
  <c r="DR146" i="33"/>
  <c r="CQ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6" i="33" s="1"/>
  <c r="AV145" i="33"/>
  <c r="BI142" i="33"/>
  <c r="BP143" i="33"/>
  <c r="BP142" i="33"/>
  <c r="BP146" i="33" s="1"/>
  <c r="BP144" i="33"/>
  <c r="CB178" i="33"/>
  <c r="BB178" i="33"/>
  <c r="CW178" i="33"/>
  <c r="CD143" i="33"/>
  <c r="CD144" i="33"/>
  <c r="CD142" i="33"/>
  <c r="CD146" i="33" s="1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6" i="33" s="1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6" i="33" s="1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6" i="33" s="1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BJ146" i="33" l="1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J147" i="33"/>
  <c r="BJ163" i="33" s="1"/>
  <c r="BE146" i="33"/>
  <c r="BE148" i="33" s="1"/>
  <c r="BK146" i="33"/>
  <c r="BK147" i="33" s="1"/>
  <c r="BD146" i="33"/>
  <c r="BD148" i="33" s="1"/>
  <c r="AV148" i="33"/>
  <c r="AV147" i="33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AW148" i="33"/>
  <c r="AW147" i="33"/>
  <c r="CI146" i="33"/>
  <c r="DH147" i="33"/>
  <c r="DH148" i="33"/>
  <c r="BP148" i="33"/>
  <c r="BP147" i="33"/>
  <c r="CQ148" i="33"/>
  <c r="CQ147" i="33"/>
  <c r="CB148" i="33"/>
  <c r="CB147" i="33"/>
  <c r="BN146" i="33"/>
  <c r="DF148" i="33"/>
  <c r="DF147" i="33"/>
  <c r="BR148" i="33"/>
  <c r="BR147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BS148" i="33"/>
  <c r="BS147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AY148" i="33"/>
  <c r="AY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BS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AY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BP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AK21" i="29" s="1"/>
  <c r="AK25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C183" i="33" l="1"/>
  <c r="AK26" i="29"/>
  <c r="C184" i="33" s="1"/>
  <c r="T234" i="31"/>
  <c r="B83" i="30"/>
  <c r="U66" i="7"/>
  <c r="AP5" i="29"/>
  <c r="AP4" i="29"/>
  <c r="AD20" i="29" s="1"/>
  <c r="AF20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D184" i="33" l="1"/>
  <c r="C185" i="33"/>
  <c r="F84" i="30"/>
  <c r="F83" i="30"/>
  <c r="T272" i="31"/>
  <c r="X272" i="31" s="1"/>
  <c r="J142" i="31" s="1"/>
  <c r="C220" i="33" s="1"/>
  <c r="X234" i="3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D185" i="33" l="1"/>
  <c r="D183" i="33" s="1"/>
  <c r="AX39" i="23"/>
  <c r="AX37" i="23"/>
  <c r="AT38" i="23"/>
  <c r="AT37" i="23"/>
  <c r="AV39" i="23"/>
  <c r="AV37" i="23"/>
  <c r="C307" i="33"/>
  <c r="X237" i="31"/>
  <c r="AU39" i="23"/>
  <c r="AU37" i="23"/>
  <c r="C192" i="3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2" i="18" s="1"/>
  <c r="W215" i="18" s="1"/>
  <c r="AB5" i="22" s="1"/>
  <c r="BN15" i="23" s="1"/>
  <c r="BN21" i="23" s="1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C276" i="33" l="1"/>
  <c r="AJ216" i="33"/>
  <c r="AN216" i="33" s="1"/>
  <c r="D220" i="33" s="1"/>
  <c r="D192" i="33"/>
  <c r="AK225" i="33"/>
  <c r="AO225" i="33" s="1"/>
  <c r="AO228" i="33" s="1"/>
  <c r="AR228" i="33" s="1"/>
  <c r="AS228" i="33" s="1"/>
  <c r="AT228" i="33" s="1"/>
  <c r="AW228" i="33" s="1"/>
  <c r="D240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D276" i="33" l="1"/>
  <c r="D290" i="33" s="1"/>
  <c r="D292" i="33" s="1"/>
  <c r="D294" i="33" s="1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C292" i="33" l="1"/>
  <c r="AV9" i="23"/>
  <c r="AW9" i="23"/>
  <c r="BO9" i="23"/>
  <c r="AT9" i="23"/>
  <c r="D244" i="33"/>
  <c r="BR31" i="23"/>
  <c r="H83" i="23" s="1"/>
  <c r="H85" i="23" s="1"/>
  <c r="D161" i="33"/>
  <c r="C294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BR23" i="23" l="1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<sst xmlns="http://schemas.openxmlformats.org/spreadsheetml/2006/main" count="3128" uniqueCount="1467">
  <si>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</si>
  <si>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</si>
  <si>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</si>
  <si>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</si>
  <si>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</si>
  <si>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</si>
  <si>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</si>
  <si>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</si>
  <si>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</si>
  <si>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</si>
  <si>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</si>
  <si>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</si>
  <si>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</si>
  <si>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</si>
  <si>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</si>
  <si>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</si>
  <si>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</si>
  <si>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</si>
  <si>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</si>
  <si>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</si>
  <si>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</si>
  <si>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</si>
  <si>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</si>
  <si>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</si>
  <si>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</si>
  <si>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</si>
  <si>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</si>
  <si>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</si>
  <si>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</si>
  <si>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</si>
  <si>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</si>
  <si>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</si>
  <si>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</si>
  <si>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</si>
  <si>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</si>
  <si>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</si>
  <si>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</si>
  <si>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</si>
  <si>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</si>
  <si>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</si>
  <si>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</si>
  <si>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</si>
  <si>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</si>
  <si>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</si>
  <si>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</si>
  <si>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</si>
  <si>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</si>
  <si>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</si>
  <si>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</si>
  <si>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</si>
  <si>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</si>
  <si>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</si>
  <si>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</si>
  <si>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</si>
  <si>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</si>
  <si>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</si>
  <si>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</si>
  <si>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</si>
  <si>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</si>
  <si>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</si>
  <si>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</si>
  <si>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</si>
  <si>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</si>
  <si>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</si>
  <si>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</si>
  <si>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</si>
  <si>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</si>
  <si>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</si>
  <si>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</si>
  <si>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</si>
  <si>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</si>
  <si>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</si>
  <si>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</si>
  <si>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</si>
  <si>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</si>
  <si>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</si>
  <si>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</si>
  <si>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</si>
  <si>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</si>
  <si>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</si>
  <si>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</si>
  <si>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</si>
  <si>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</si>
  <si>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</si>
  <si>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</si>
  <si>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</si>
  <si>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</si>
  <si>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</si>
  <si>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</si>
  <si>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</si>
  <si>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</si>
  <si>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</si>
  <si>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</si>
  <si>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</si>
  <si>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</si>
  <si>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</si>
  <si>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</si>
  <si>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</si>
  <si>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</si>
  <si>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</si>
  <si>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</si>
  <si>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</si>
  <si>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</si>
  <si>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</si>
  <si>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</si>
  <si>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</si>
  <si>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</si>
  <si>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</si>
  <si>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</si>
  <si>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</si>
  <si>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</si>
  <si>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</si>
  <si>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</si>
  <si>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</si>
  <si>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</si>
  <si>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</si>
  <si>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</si>
  <si>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</si>
  <si>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</si>
  <si>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</si>
  <si>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</si>
  <si>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</si>
  <si>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</si>
  <si>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</si>
  <si>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</si>
  <si>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</si>
  <si>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</si>
  <si>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</si>
  <si>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</si>
  <si>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</si>
  <si>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</si>
  <si>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</si>
  <si>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</si>
  <si>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</si>
  <si>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</si>
  <si>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</si>
  <si>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</si>
  <si>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</si>
  <si>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</si>
  <si>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</si>
  <si>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</si>
  <si>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</si>
  <si>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</si>
  <si>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</si>
  <si>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</si>
  <si>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</si>
  <si>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</si>
  <si>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</si>
  <si>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</si>
  <si>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</si>
  <si>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</si>
  <si>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</si>
  <si>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</si>
  <si>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</si>
  <si>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</si>
  <si>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</si>
  <si>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</si>
  <si>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</si>
  <si>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</si>
  <si>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</si>
  <si>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</si>
  <si>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</si>
  <si>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</si>
  <si>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</si>
  <si>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</si>
  <si>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</si>
  <si>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</si>
  <si>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</si>
  <si>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</si>
  <si>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</si>
  <si>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</si>
  <si>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</si>
  <si>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</si>
  <si>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</si>
  <si>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</si>
  <si>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</si>
  <si>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</si>
  <si>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</si>
  <si>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</si>
  <si>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</si>
  <si>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</si>
  <si>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</si>
  <si>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</si>
  <si>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</si>
  <si>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</si>
  <si>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</si>
  <si>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</si>
  <si>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</si>
  <si>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</si>
  <si>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</si>
  <si>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</si>
  <si>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</si>
  <si>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</si>
  <si>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</si>
  <si>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</si>
  <si>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</si>
  <si>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</si>
  <si>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</si>
  <si>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</si>
  <si>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</si>
  <si>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</si>
  <si>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</si>
  <si>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</si>
  <si>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</si>
  <si>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</si>
  <si>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</si>
  <si>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</si>
  <si>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</si>
  <si>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</si>
  <si>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</si>
  <si>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</si>
  <si>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</si>
  <si>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</si>
  <si>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</si>
  <si>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</si>
  <si>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</si>
  <si>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</si>
  <si>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</si>
  <si>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</si>
  <si>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</si>
  <si>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</si>
  <si>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</si>
  <si>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</si>
  <si>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</si>
  <si>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</si>
  <si>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</si>
  <si>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</si>
  <si>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</si>
  <si>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</si>
  <si>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</si>
  <si>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</si>
  <si>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</si>
  <si>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</si>
  <si>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</si>
  <si>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</si>
  <si>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</si>
  <si>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</si>
  <si>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</si>
  <si>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</si>
  <si>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</si>
  <si>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</si>
  <si>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</si>
  <si>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</si>
  <si>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</si>
  <si>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</si>
  <si>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</si>
  <si>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</si>
  <si>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</si>
  <si>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</si>
  <si>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</si>
  <si>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</si>
  <si>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</si>
  <si>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</si>
  <si>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</si>
  <si>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</si>
  <si>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</si>
  <si>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</si>
  <si>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</si>
  <si>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</si>
  <si>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</si>
  <si>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</si>
  <si>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</si>
  <si>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</si>
  <si>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</si>
  <si>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</si>
  <si>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</si>
  <si>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</si>
  <si>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</si>
  <si>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</si>
  <si>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</si>
  <si>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</si>
  <si>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</si>
  <si>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</si>
  <si>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</si>
  <si>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</si>
  <si>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</si>
  <si>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</si>
  <si>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</si>
  <si>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</si>
  <si>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</si>
  <si>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</si>
  <si>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</si>
  <si>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</si>
  <si>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</si>
  <si>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</si>
  <si>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</si>
  <si>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</si>
  <si>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</si>
  <si>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</si>
  <si>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</si>
  <si>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</si>
  <si>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</si>
  <si>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</si>
  <si>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</si>
  <si>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</si>
  <si>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</si>
  <si>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</si>
  <si>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</si>
  <si>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</si>
  <si>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</si>
  <si>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</si>
  <si>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</si>
  <si>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</si>
  <si>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</si>
  <si>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</si>
  <si>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</si>
  <si>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</si>
  <si>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</si>
  <si>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</si>
  <si>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</si>
  <si>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</si>
  <si>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</si>
  <si>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</si>
  <si>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</si>
  <si>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</si>
  <si>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</si>
  <si>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</si>
  <si>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</si>
  <si>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</si>
  <si>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</si>
  <si>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</si>
  <si>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</si>
  <si>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</si>
  <si>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</si>
  <si>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</si>
  <si>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</si>
  <si>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</si>
  <si>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</si>
  <si>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</si>
  <si>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</si>
  <si>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</si>
  <si>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</si>
  <si>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</si>
  <si>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</si>
  <si>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</si>
  <si>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</si>
  <si>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</si>
  <si>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</si>
  <si>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</si>
  <si>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</si>
  <si>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</si>
  <si>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</si>
  <si>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</si>
  <si>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</si>
  <si>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</si>
  <si>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</si>
  <si>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</si>
  <si>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</si>
  <si>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</si>
  <si>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</si>
  <si>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</si>
  <si>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</si>
  <si>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</si>
  <si>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</si>
  <si>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</si>
  <si>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</si>
  <si>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</si>
  <si>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</si>
  <si>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</si>
  <si>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</si>
  <si>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</si>
  <si>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</si>
  <si>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</si>
  <si>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</si>
  <si>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</si>
  <si>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</si>
  <si>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</si>
  <si>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</si>
  <si>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</si>
  <si>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</si>
  <si>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</si>
  <si>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</si>
  <si>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</si>
  <si>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</si>
  <si>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</si>
  <si>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</si>
  <si>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</si>
  <si>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</si>
  <si>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</si>
  <si>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</si>
  <si>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</si>
  <si>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</si>
  <si>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</si>
  <si>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</si>
  <si>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</si>
  <si>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</si>
  <si>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</si>
  <si>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</si>
  <si>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</si>
  <si>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</si>
  <si>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</si>
  <si>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</si>
  <si>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</si>
  <si>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</si>
  <si>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</si>
  <si>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</si>
  <si>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</si>
  <si>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</si>
  <si>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</si>
  <si>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</si>
  <si>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</si>
  <si>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</si>
  <si>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</si>
  <si>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</si>
  <si>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</si>
  <si>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</si>
  <si>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</si>
  <si>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</si>
  <si>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</si>
  <si>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</si>
  <si>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</si>
  <si>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</si>
  <si>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</si>
  <si>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</si>
  <si>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</si>
  <si>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</si>
  <si>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</si>
  <si>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</si>
  <si>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</si>
  <si>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</si>
  <si>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</si>
  <si>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</si>
  <si>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</si>
  <si>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</si>
  <si>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</si>
  <si>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</si>
  <si>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</si>
  <si>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</si>
  <si>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</si>
  <si>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</si>
  <si>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</si>
  <si>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</si>
  <si>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</si>
  <si>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</si>
  <si>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</si>
  <si>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</si>
  <si>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</si>
  <si>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</si>
  <si>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</si>
  <si>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</si>
  <si>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</si>
  <si>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</si>
  <si>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</si>
  <si>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</si>
  <si>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</si>
  <si>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</si>
  <si>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</si>
  <si>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</si>
  <si>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</si>
  <si>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</si>
  <si>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</si>
  <si>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</si>
  <si>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</si>
  <si>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</si>
  <si>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</si>
  <si>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</si>
  <si>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</si>
  <si>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</si>
  <si>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</si>
  <si>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</si>
  <si>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</si>
  <si>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</si>
  <si>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</si>
  <si>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</si>
  <si>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</si>
  <si>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</si>
  <si>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</si>
  <si>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</si>
  <si>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</si>
  <si>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</si>
  <si>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</si>
  <si>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</si>
  <si>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</si>
  <si>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</si>
  <si>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</si>
  <si>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</si>
  <si>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</si>
  <si>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</si>
  <si>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</si>
  <si>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</si>
  <si>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</si>
  <si>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</si>
  <si>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</si>
  <si>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</si>
  <si>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</si>
  <si>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</si>
  <si>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</si>
  <si>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</si>
  <si>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</si>
  <si>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</si>
  <si>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</si>
  <si>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</si>
  <si>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</si>
  <si>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</si>
  <si>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</si>
  <si>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</si>
  <si>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</si>
  <si>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</si>
  <si>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</si>
  <si>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</si>
  <si>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</si>
  <si>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</si>
  <si>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</si>
  <si>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</si>
  <si>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</si>
  <si>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</si>
  <si>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</si>
  <si>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</si>
  <si>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</si>
  <si>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</si>
  <si>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</si>
  <si>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</si>
  <si>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</si>
  <si>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</si>
  <si>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</si>
  <si>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</si>
  <si>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</si>
  <si>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</si>
  <si>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</si>
  <si>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</si>
  <si>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</si>
  <si>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</si>
  <si>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</si>
  <si>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</si>
  <si>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</si>
  <si>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</si>
  <si>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</si>
  <si>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</si>
  <si>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</si>
  <si>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</si>
  <si>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</si>
  <si>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</si>
  <si>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</si>
  <si>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</si>
  <si>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</si>
  <si>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</si>
  <si>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</si>
  <si>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</si>
  <si>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</si>
  <si>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</si>
  <si>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</si>
  <si>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</si>
  <si>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</si>
  <si>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</si>
  <si>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</si>
  <si>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</si>
  <si>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</si>
  <si>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</si>
  <si>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</si>
  <si>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</si>
  <si>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</si>
  <si>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</si>
  <si>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</si>
  <si>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</si>
  <si>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</si>
  <si>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</si>
  <si>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</si>
  <si>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</si>
  <si>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</si>
  <si>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</si>
  <si>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</si>
  <si>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</si>
  <si>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</si>
  <si>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</si>
  <si>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</si>
  <si>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</si>
  <si>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</si>
  <si>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</si>
  <si>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</si>
  <si>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</si>
  <si>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</si>
  <si>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</si>
  <si>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</si>
  <si>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</si>
  <si>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</si>
  <si>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</si>
  <si>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</si>
  <si>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</si>
  <si>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</si>
  <si>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</si>
  <si>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</si>
  <si>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</si>
  <si>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</si>
  <si>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</si>
  <si>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</si>
  <si>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</si>
  <si>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</si>
  <si>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</si>
  <si>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</si>
  <si>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</si>
  <si>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</si>
  <si>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</si>
  <si>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</si>
  <si>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</si>
  <si>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</si>
  <si>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</si>
  <si>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</si>
  <si>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</si>
  <si>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</si>
  <si>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</si>
  <si>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</si>
  <si>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</si>
  <si>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</si>
  <si>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</si>
  <si>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</si>
  <si>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</si>
  <si>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</si>
  <si>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</si>
  <si>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</si>
  <si>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</si>
  <si>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</si>
  <si>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</si>
  <si>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</si>
  <si>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</si>
  <si>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</si>
  <si>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</si>
  <si>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</si>
  <si>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</si>
  <si>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</si>
  <si>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</si>
  <si>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</si>
  <si>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</si>
  <si>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</si>
  <si>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</si>
  <si>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</si>
  <si>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</si>
  <si>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</si>
  <si>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</si>
  <si>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</si>
  <si>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</si>
  <si>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</si>
  <si>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</si>
  <si>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</si>
  <si>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</si>
  <si>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</si>
  <si>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</si>
  <si>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</si>
  <si>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</si>
  <si>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</si>
  <si>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</si>
  <si>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</si>
  <si>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</si>
  <si>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</si>
  <si>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</si>
  <si>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</si>
  <si>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</si>
  <si>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</si>
  <si>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</si>
  <si>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</si>
  <si>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</si>
  <si>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</si>
  <si>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</si>
  <si>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</si>
  <si>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</si>
  <si>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</si>
  <si>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</si>
  <si>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</si>
  <si>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</si>
  <si>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</si>
  <si>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</si>
  <si>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</si>
  <si>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</si>
  <si>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</si>
  <si>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</si>
  <si>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</si>
  <si>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</si>
  <si>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</si>
  <si>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</si>
  <si>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</si>
  <si>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</si>
  <si>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</si>
  <si>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</si>
  <si>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</si>
  <si>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</si>
  <si>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</si>
  <si>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</si>
  <si>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</si>
  <si>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</si>
  <si>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</si>
  <si>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</si>
  <si>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</si>
  <si>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</si>
  <si>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</si>
  <si>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</si>
  <si>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</si>
  <si>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</si>
  <si>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</si>
  <si>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</si>
  <si>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</si>
  <si>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</si>
  <si>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</si>
  <si>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</si>
  <si>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</si>
  <si>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</si>
  <si>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</si>
  <si>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</si>
  <si>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</si>
  <si>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</si>
  <si>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</si>
  <si>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</si>
  <si>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</si>
  <si>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</si>
  <si>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</si>
  <si>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</si>
  <si>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</si>
  <si>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</si>
  <si>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</si>
  <si>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</si>
  <si>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</si>
  <si>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</si>
  <si>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</si>
  <si>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</si>
  <si>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</si>
  <si>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</si>
  <si>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</si>
  <si>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</si>
  <si>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</si>
  <si>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</si>
  <si>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</si>
  <si>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</si>
  <si>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</si>
  <si>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</si>
  <si>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</si>
  <si>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</si>
  <si>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</si>
  <si>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</si>
  <si>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</si>
  <si>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</si>
  <si>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</si>
  <si>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</si>
  <si>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</si>
  <si>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</si>
  <si>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</si>
  <si>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</si>
  <si>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</si>
  <si>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</si>
  <si>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</si>
  <si>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</si>
  <si>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</si>
  <si>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</si>
  <si>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</si>
  <si>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</si>
  <si>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</si>
  <si>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</si>
  <si>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</si>
  <si>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</si>
  <si>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</si>
  <si>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</si>
  <si>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</si>
  <si>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</si>
  <si>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</si>
  <si>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</si>
  <si>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</si>
  <si>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</si>
  <si>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</si>
  <si>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</si>
  <si>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</si>
  <si>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</si>
  <si>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</si>
  <si>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</si>
  <si>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</si>
  <si>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</si>
  <si>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</si>
  <si>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</si>
  <si>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</si>
  <si>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</si>
  <si>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</si>
  <si>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</si>
  <si>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</si>
  <si>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</si>
  <si>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</si>
  <si>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</si>
  <si>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</si>
  <si>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</si>
  <si>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</si>
  <si>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</si>
  <si>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</si>
  <si>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</si>
  <si>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</si>
  <si>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</si>
  <si>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</si>
  <si>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</si>
  <si>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</si>
  <si>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</si>
  <si>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</si>
  <si>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</si>
  <si>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</si>
  <si>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</si>
  <si>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</si>
  <si>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</si>
  <si>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</si>
  <si>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</si>
  <si>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</si>
  <si>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</si>
  <si>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</si>
  <si>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</si>
  <si>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</si>
  <si>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</si>
  <si>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</si>
  <si>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</si>
  <si>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</si>
  <si>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</si>
  <si>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</si>
  <si>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</si>
  <si>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</si>
  <si>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</si>
  <si>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</si>
  <si>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</si>
  <si>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</si>
  <si>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</si>
  <si>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</si>
  <si>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</si>
  <si>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</si>
  <si>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</si>
  <si>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</si>
  <si>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</si>
  <si>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</si>
  <si>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</si>
  <si>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</si>
  <si>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</si>
  <si>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</si>
  <si>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</si>
  <si>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</si>
  <si>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</si>
  <si>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</si>
  <si>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</si>
  <si>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</si>
  <si>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</si>
  <si>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</si>
  <si>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</si>
  <si>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</si>
  <si>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</si>
  <si>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</si>
  <si>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</si>
  <si>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</si>
  <si>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</si>
  <si>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</si>
  <si>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</si>
  <si>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</si>
  <si>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</si>
  <si>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</si>
  <si>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</si>
  <si>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</si>
  <si>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</si>
  <si>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</si>
  <si>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</si>
  <si>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</si>
  <si>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</si>
  <si>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</si>
  <si>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</si>
  <si>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</si>
  <si>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</si>
  <si>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</si>
  <si>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</si>
  <si>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</si>
  <si>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</si>
  <si>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</si>
  <si>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</si>
  <si>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</si>
  <si>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</si>
  <si>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</si>
  <si>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</si>
  <si>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</si>
  <si>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</si>
  <si>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</si>
  <si>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</si>
  <si>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</si>
  <si>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</si>
  <si>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</si>
  <si>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</si>
  <si>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</si>
  <si>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</si>
  <si>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</si>
  <si>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</si>
  <si>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</si>
  <si>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</si>
  <si>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</si>
  <si>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</si>
  <si>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</si>
  <si>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</si>
  <si>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</si>
  <si>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</si>
  <si>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</si>
  <si>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</si>
  <si>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</si>
  <si>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</si>
  <si>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</si>
  <si>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</si>
  <si>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</si>
  <si>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</si>
  <si>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</si>
  <si>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</si>
  <si>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</si>
  <si>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</si>
  <si>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</si>
  <si>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</si>
  <si>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</si>
  <si>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</si>
  <si>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</si>
  <si>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</si>
  <si>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</si>
  <si>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</si>
  <si>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</si>
  <si>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</si>
  <si>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</si>
  <si>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</si>
  <si>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</si>
  <si>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</si>
  <si>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</si>
  <si>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</si>
  <si>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</si>
  <si>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</si>
  <si>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</si>
  <si>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</si>
  <si>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</si>
  <si>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</si>
  <si>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</si>
  <si>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</si>
  <si>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</si>
  <si>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</si>
  <si>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</si>
  <si>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</si>
  <si>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</si>
  <si>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</si>
  <si>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</si>
  <si>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</si>
  <si>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</si>
  <si>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</si>
  <si>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</si>
  <si>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</si>
  <si>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</si>
  <si>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</si>
  <si>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</si>
  <si>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</si>
  <si>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</si>
  <si>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</si>
  <si>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</si>
  <si>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</si>
  <si>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</si>
  <si>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</si>
  <si>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</si>
  <si>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</si>
  <si>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</si>
  <si>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</si>
  <si>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</si>
  <si>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</si>
  <si>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</si>
  <si>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</si>
  <si>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</si>
  <si>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</si>
  <si>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</si>
  <si>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</si>
  <si>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</si>
  <si>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</si>
  <si>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</si>
  <si>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</si>
  <si>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</si>
  <si>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</si>
  <si>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</si>
  <si>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</si>
  <si>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</si>
  <si>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</si>
  <si>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</si>
  <si>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</si>
  <si>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</si>
  <si>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</si>
  <si>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</si>
  <si>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</si>
  <si>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</si>
  <si>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</si>
  <si>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</si>
  <si>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</si>
  <si>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</si>
  <si>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</si>
  <si>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</si>
  <si>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</si>
  <si>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</si>
  <si>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</si>
  <si>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</si>
  <si>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</si>
  <si>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</si>
  <si>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</si>
  <si>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</si>
  <si>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</si>
  <si>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</si>
  <si>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</si>
  <si>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</si>
  <si>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</si>
  <si>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</si>
  <si>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</si>
  <si>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</si>
  <si>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</si>
  <si>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</si>
  <si>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</si>
  <si>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</si>
  <si>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</si>
  <si>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</si>
  <si>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</si>
  <si>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</si>
  <si>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</si>
  <si>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</si>
  <si>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</si>
  <si>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</si>
  <si>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</si>
  <si>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</si>
  <si>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</si>
  <si>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</si>
  <si>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</si>
  <si>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</si>
  <si>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</si>
  <si>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</si>
  <si>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</si>
  <si>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</si>
  <si>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</si>
  <si>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</si>
  <si>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</si>
  <si>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</si>
  <si>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</si>
  <si>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</si>
  <si>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</si>
  <si>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</si>
  <si>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</si>
  <si>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</si>
  <si>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</si>
  <si>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</si>
  <si>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</si>
  <si>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</si>
  <si>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</si>
  <si>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</si>
  <si>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</si>
  <si>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</si>
  <si>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</si>
  <si>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</si>
  <si>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</si>
  <si>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</si>
  <si>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</si>
  <si>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</si>
  <si>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</si>
  <si>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</si>
  <si>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</si>
  <si>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</si>
  <si>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</si>
  <si>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</si>
  <si>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</si>
  <si>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</si>
  <si>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</si>
  <si>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</si>
  <si>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</si>
  <si>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</si>
  <si>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</si>
  <si>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</si>
  <si>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</si>
  <si>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</si>
  <si>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</si>
  <si>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</si>
  <si>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</si>
  <si>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</si>
  <si>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</si>
  <si>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</si>
  <si>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</si>
  <si>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</si>
  <si>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</si>
  <si>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</si>
  <si>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</si>
  <si>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</si>
  <si>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</si>
  <si>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</si>
  <si>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</si>
  <si>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</si>
  <si>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</si>
  <si>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</si>
  <si>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</si>
  <si>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</si>
  <si>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</si>
  <si>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</si>
  <si>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</si>
  <si>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</si>
  <si>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</si>
  <si>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</si>
  <si>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</si>
  <si>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</si>
  <si>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</si>
  <si>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</si>
  <si>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</si>
  <si>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</si>
  <si>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</si>
  <si>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</si>
  <si>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</si>
  <si>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</si>
  <si>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</si>
  <si>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</si>
  <si>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</si>
  <si>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</si>
  <si>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</si>
  <si>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</si>
  <si>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</si>
  <si>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</si>
  <si>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</si>
  <si>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</si>
  <si>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</si>
  <si>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</si>
  <si>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</si>
  <si>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</si>
  <si>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</si>
  <si>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</si>
  <si>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</si>
  <si>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</si>
  <si>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</si>
  <si>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</si>
  <si>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</si>
  <si>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</si>
  <si>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</si>
  <si>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</si>
  <si>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</si>
  <si>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</si>
  <si>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</si>
  <si>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</si>
  <si>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</si>
  <si>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</si>
  <si>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</si>
  <si>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</si>
  <si>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</si>
  <si>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</si>
  <si>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</si>
  <si>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</si>
  <si>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</si>
  <si>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</si>
  <si>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</si>
  <si>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</si>
  <si>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</si>
  <si>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</si>
  <si>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</si>
  <si>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</si>
  <si>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</si>
  <si>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</si>
  <si>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</si>
  <si>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</si>
  <si>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</si>
  <si>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</si>
  <si>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</si>
  <si>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</si>
  <si>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</si>
  <si>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</si>
  <si>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</si>
  <si>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</si>
  <si>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</si>
  <si>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</si>
  <si>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</si>
  <si>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</si>
  <si>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</si>
  <si>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</si>
  <si>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</si>
  <si>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</si>
  <si>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</si>
  <si>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</si>
  <si>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</si>
  <si>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</si>
  <si>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</si>
  <si>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</si>
  <si>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</si>
  <si>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</si>
  <si>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</si>
  <si>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</si>
  <si>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</si>
  <si>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</si>
  <si>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</si>
  <si>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</si>
  <si>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</si>
  <si>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</si>
  <si>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</si>
  <si>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</si>
  <si>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</si>
  <si>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</si>
  <si>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</si>
  <si>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</si>
  <si>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</si>
  <si>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</si>
  <si>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</si>
  <si>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</si>
  <si>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</si>
  <si>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</si>
  <si>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</si>
  <si>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</si>
  <si>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</si>
  <si>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</si>
  <si>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</si>
  <si>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</si>
  <si>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</si>
  <si>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</si>
  <si>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</si>
  <si>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</si>
  <si>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</si>
  <si>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</si>
  <si>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</si>
  <si>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</si>
  <si>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</si>
  <si>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</si>
  <si>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</si>
  <si>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</si>
  <si>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</si>
  <si>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</si>
  <si>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</si>
  <si>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</si>
  <si>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</si>
  <si>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</si>
  <si>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</si>
  <si>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</si>
  <si>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</si>
  <si>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</si>
  <si>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</si>
  <si>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</si>
  <si>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</si>
  <si>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</si>
  <si>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</si>
  <si>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</si>
  <si>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</si>
  <si>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</si>
  <si>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</si>
  <si>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</si>
  <si>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</si>
  <si>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</si>
  <si>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</si>
  <si>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</si>
  <si>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</si>
  <si>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</si>
  <si>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</si>
  <si>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</si>
  <si>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</si>
  <si>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</si>
  <si>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</si>
  <si>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</si>
  <si>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</si>
  <si>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</si>
  <si>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</si>
  <si>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</si>
  <si>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</si>
  <si>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</si>
  <si>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</si>
  <si>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</si>
  <si>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</si>
  <si>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</si>
  <si>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</si>
  <si>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</si>
  <si>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</si>
  <si>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</si>
  <si>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</si>
  <si>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</si>
  <si>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</si>
  <si>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</si>
  <si>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</si>
  <si>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</si>
  <si>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</si>
  <si>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</si>
  <si>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</si>
  <si>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</si>
  <si>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</si>
  <si>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</si>
  <si>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</si>
  <si>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</si>
  <si>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</si>
  <si>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</si>
  <si>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</si>
  <si>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</si>
  <si>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</si>
  <si>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</si>
  <si>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</si>
  <si>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</si>
  <si>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</si>
  <si>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</si>
  <si>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</si>
  <si>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</si>
  <si>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</si>
  <si>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</si>
  <si>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</si>
  <si>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</si>
  <si>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</si>
  <si>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</si>
  <si>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</si>
  <si>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</si>
  <si>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</si>
  <si>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</si>
  <si>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</si>
  <si>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</si>
  <si>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</si>
  <si>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</si>
  <si>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</si>
  <si>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</si>
  <si>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</si>
  <si>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</si>
  <si>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</si>
  <si>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</si>
  <si>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</si>
  <si>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</si>
  <si>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</si>
  <si>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</si>
  <si>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</si>
  <si>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</si>
  <si>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</si>
  <si>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</si>
  <si>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</si>
  <si>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</si>
  <si>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</si>
  <si>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</si>
  <si>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</si>
  <si>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</si>
  <si>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</si>
  <si>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</si>
  <si>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</si>
  <si>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</si>
  <si>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</si>
  <si>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</si>
  <si>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</si>
  <si>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</si>
  <si>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</si>
  <si>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</si>
  <si>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</si>
  <si>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</si>
  <si>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</si>
  <si>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</si>
  <si>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</si>
  <si>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</si>
  <si>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</si>
  <si>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</si>
  <si>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</si>
  <si>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</si>
  <si>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</si>
  <si>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</si>
  <si>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</si>
  <si>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</si>
  <si>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</si>
  <si>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</si>
  <si>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</si>
  <si>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</si>
  <si>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</si>
  <si>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</si>
  <si>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</si>
  <si>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</si>
  <si>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</si>
  <si>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</si>
  <si>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</si>
  <si>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</si>
  <si>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</si>
  <si>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</si>
  <si>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</si>
  <si>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</si>
  <si>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</si>
  <si>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</si>
  <si>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</si>
  <si>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</si>
  <si>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</si>
  <si>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</si>
  <si>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</si>
  <si>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</si>
  <si>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</si>
  <si>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</si>
  <si>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</si>
  <si>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</si>
  <si>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</si>
  <si>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</si>
  <si>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</si>
  <si>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</si>
  <si>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</si>
  <si>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</si>
  <si>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</si>
  <si>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</si>
  <si>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</si>
  <si>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</si>
  <si>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</si>
  <si>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</si>
  <si>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</si>
  <si>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</si>
  <si>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</si>
  <si>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</si>
  <si>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</si>
  <si>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</si>
  <si>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</si>
  <si>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</si>
  <si>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</si>
  <si>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</si>
  <si>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</si>
  <si>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</si>
  <si>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</si>
  <si>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</si>
  <si>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</si>
  <si>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</si>
  <si>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</si>
  <si>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</si>
  <si>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</si>
  <si>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</si>
  <si>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</si>
  <si>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</si>
  <si>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</si>
  <si>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</si>
  <si>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</si>
  <si>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</si>
  <si>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</si>
  <si>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</si>
  <si>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</si>
  <si>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</si>
  <si>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</si>
  <si>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</si>
  <si>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</si>
  <si>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</si>
  <si>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</si>
  <si>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</si>
  <si>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</si>
  <si>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</si>
  <si>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</si>
  <si>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</si>
  <si>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</si>
  <si>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</si>
  <si>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</si>
  <si>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</si>
  <si>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</si>
  <si>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</si>
  <si>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</si>
  <si>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</si>
  <si>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</si>
  <si>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</si>
  <si>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</si>
  <si>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</si>
  <si>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</si>
  <si>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</si>
  <si>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</si>
  <si>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</si>
  <si>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</si>
  <si>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</si>
  <si>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</si>
  <si>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</si>
  <si>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</si>
  <si>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</si>
  <si>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</si>
  <si>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</si>
  <si>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</si>
  <si>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</si>
  <si>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</si>
  <si>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</si>
  <si>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</si>
  <si>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</si>
  <si>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</si>
  <si>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</si>
  <si>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</si>
  <si>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</si>
  <si>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</si>
  <si>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</si>
  <si>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</si>
  <si>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</si>
  <si>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</si>
  <si>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</si>
  <si>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</si>
  <si>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</si>
  <si>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</si>
  <si>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</si>
  <si>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</si>
  <si>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</si>
  <si>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</si>
  <si>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</si>
  <si>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</si>
  <si>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</si>
  <si>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</si>
  <si>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</si>
  <si>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</si>
  <si>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</si>
  <si>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</si>
  <si>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</si>
  <si>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</si>
  <si>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Z3_OLBV_T3_ZIsi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</si>
</sst>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5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58.879999999999995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177.25771238990353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0.41131366956521737</v>
      </c>
      <c r="J5" s="143">
        <f>CdTrp1!E215+CdTrp2!E215+CdTrp3!E215+CdTrp4!E215</f>
        <v>0.41131366956521737</v>
      </c>
      <c r="K5" s="143">
        <f>CdTrp1!F215+CdTrp2!F215+CdTrp3!F215+CdTrp4!F215</f>
        <v>0.45538299130434778</v>
      </c>
      <c r="L5" s="143">
        <f>CdTrp1!G215+CdTrp2!G215+CdTrp3!G215+CdTrp4!G215</f>
        <v>6.7701236929565232</v>
      </c>
      <c r="M5" s="143">
        <f>CdTrp1!H215+CdTrp2!H215+CdTrp3!H215+CdTrp4!H215</f>
        <v>9.233057089565218</v>
      </c>
      <c r="N5" s="143">
        <f>CdTrp1!I215+CdTrp2!I215+CdTrp3!I215+CdTrp4!I215</f>
        <v>6.6603957730434811</v>
      </c>
      <c r="O5" s="143">
        <f>CdTrp1!J215+CdTrp2!J215+CdTrp3!J215+CdTrp4!J215</f>
        <v>7.6314062032173924</v>
      </c>
      <c r="P5" s="143">
        <f>CdTrp1!K215+CdTrp2!K215+CdTrp3!K215+CdTrp4!K215</f>
        <v>6.5531118240000019</v>
      </c>
      <c r="Q5" s="143">
        <f>CdTrp1!L215+CdTrp2!L215+CdTrp3!L215+CdTrp4!L215</f>
        <v>6.3417211200000017</v>
      </c>
      <c r="R5" s="143">
        <f>CdTrp1!M215+CdTrp2!M215+CdTrp3!M215+CdTrp4!M215</f>
        <v>1.2737230434782609</v>
      </c>
      <c r="S5" s="143">
        <f>CdTrp1!N215+CdTrp2!N215+CdTrp3!N215+CdTrp4!N215</f>
        <v>1.3161804782608697</v>
      </c>
      <c r="T5" s="143">
        <f>CdTrp1!O215+CdTrp2!O215+CdTrp3!O215+CdTrp4!O215</f>
        <v>1.3161804782608697</v>
      </c>
      <c r="U5" s="143">
        <f>CdTrp1!P215+CdTrp2!P215+CdTrp3!P215+CdTrp4!P215</f>
        <v>1.3161804782608697</v>
      </c>
      <c r="V5" s="143">
        <f>CdTrp1!Q215+CdTrp2!Q215+CdTrp3!Q215+CdTrp4!Q215</f>
        <v>1.3161804782608697</v>
      </c>
      <c r="W5" s="143">
        <f>CdTrp1!R215+CdTrp2!R215+CdTrp3!R215+CdTrp4!R215</f>
        <v>1.2737230434782609</v>
      </c>
      <c r="X5" s="143">
        <f>CdTrp1!S215+CdTrp2!S215+CdTrp3!S215+CdTrp4!S215</f>
        <v>1.2737230434782609</v>
      </c>
      <c r="Y5" s="143">
        <f>CdTrp1!T215+CdTrp2!T215+CdTrp3!T215+CdTrp4!T215</f>
        <v>4.5286188058695656</v>
      </c>
      <c r="Z5" s="143">
        <f>CdTrp1!U215+CdTrp2!U215+CdTrp3!U215+CdTrp4!U215</f>
        <v>8.1245346273913057</v>
      </c>
      <c r="AA5" s="143">
        <f>CdTrp1!V215+CdTrp2!V215+CdTrp3!V215+CdTrp4!V215</f>
        <v>2.9783375999999997</v>
      </c>
      <c r="AB5" s="143">
        <f>CdTrp1!W215+CdTrp2!W215+CdTrp3!W215+CdTrp4!W215</f>
        <v>2.9798369999999998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180.40233093430436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1.0946706521739131</v>
      </c>
      <c r="H6" s="143">
        <f>CdTrp1!C216+CdTrp2!C216+CdTrp3!C216+CdTrp4!C216</f>
        <v>1.0946706521739131</v>
      </c>
      <c r="I6" s="143">
        <f>CdTrp1!D216+CdTrp2!D216+CdTrp3!D216+CdTrp4!D216</f>
        <v>0.98873478260869574</v>
      </c>
      <c r="J6" s="143">
        <f>CdTrp1!E216+CdTrp2!E216+CdTrp3!E216+CdTrp4!E216</f>
        <v>0.98873478260869574</v>
      </c>
      <c r="K6" s="143">
        <f>CdTrp1!F216+CdTrp2!F216+CdTrp3!F216+CdTrp4!F216</f>
        <v>2.5164546521739126</v>
      </c>
      <c r="L6" s="143">
        <f>CdTrp1!G216+CdTrp2!G216+CdTrp3!G216+CdTrp4!G216</f>
        <v>2.5756956521739127</v>
      </c>
      <c r="M6" s="143">
        <f>CdTrp1!H216+CdTrp2!H216+CdTrp3!H216+CdTrp4!H216</f>
        <v>2.4352786956521735</v>
      </c>
      <c r="N6" s="143">
        <f>CdTrp1!I216+CdTrp2!I216+CdTrp3!I216+CdTrp4!I216</f>
        <v>4.9808188956521739</v>
      </c>
      <c r="O6" s="143">
        <f>CdTrp1!J216+CdTrp2!J216+CdTrp3!J216+CdTrp4!J216</f>
        <v>4.8295779456521739</v>
      </c>
      <c r="P6" s="143">
        <f>CdTrp1!K216+CdTrp2!K216+CdTrp3!K216+CdTrp4!K216</f>
        <v>3.99762825</v>
      </c>
      <c r="Q6" s="143">
        <f>CdTrp1!L216+CdTrp2!L216+CdTrp3!L216+CdTrp4!L216</f>
        <v>1.3759199999999998</v>
      </c>
      <c r="R6" s="143">
        <f>CdTrp1!M216+CdTrp2!M216+CdTrp3!M216+CdTrp4!M216</f>
        <v>1.3759199999999998</v>
      </c>
      <c r="S6" s="143">
        <f>CdTrp1!N216+CdTrp2!N216+CdTrp3!N216+CdTrp4!N216</f>
        <v>1.4217839999999997</v>
      </c>
      <c r="T6" s="143">
        <f>CdTrp1!O216+CdTrp2!O216+CdTrp3!O216+CdTrp4!O216</f>
        <v>1.4217839999999997</v>
      </c>
      <c r="U6" s="143">
        <f>CdTrp1!P216+CdTrp2!P216+CdTrp3!P216+CdTrp4!P216</f>
        <v>1.4217839999999997</v>
      </c>
      <c r="V6" s="143">
        <f>CdTrp1!Q216+CdTrp2!Q216+CdTrp3!Q216+CdTrp4!Q216</f>
        <v>1.4217839999999997</v>
      </c>
      <c r="W6" s="143">
        <f>CdTrp1!R216+CdTrp2!R216+CdTrp3!R216+CdTrp4!R216</f>
        <v>1.3759199999999998</v>
      </c>
      <c r="X6" s="143">
        <f>CdTrp1!S216+CdTrp2!S216+CdTrp3!S216+CdTrp4!S216</f>
        <v>1.3759199999999998</v>
      </c>
      <c r="Y6" s="143">
        <f>CdTrp1!T216+CdTrp2!T216+CdTrp3!T216+CdTrp4!T216</f>
        <v>1.4217839999999997</v>
      </c>
      <c r="Z6" s="143">
        <f>CdTrp1!U216+CdTrp2!U216+CdTrp3!U216+CdTrp4!U216</f>
        <v>1.0946706521739131</v>
      </c>
      <c r="AA6" s="143">
        <f>CdTrp1!V216+CdTrp2!V216+CdTrp3!V216+CdTrp4!V216</f>
        <v>1.0593586956521739</v>
      </c>
      <c r="AB6" s="143">
        <f>CdTrp1!W216+CdTrp2!W216+CdTrp3!W216+CdTrp4!W216</f>
        <v>1.0593586956521739</v>
      </c>
      <c r="AC6" s="143">
        <f>CdTrp1!X216+CdTrp2!X216+CdTrp3!X216+CdTrp4!X216</f>
        <v>1.0946706521739131</v>
      </c>
      <c r="AD6" s="143">
        <f>CdTrp1!Y216+CdTrp2!Y216+CdTrp3!Y216+CdTrp4!Y216</f>
        <v>1.0946706521739131</v>
      </c>
      <c r="AE6" s="153"/>
      <c r="AF6" s="154"/>
    </row>
    <row r="7" spans="1:53" x14ac:dyDescent="0.25">
      <c r="B7" s="14" t="s">
        <v>294</v>
      </c>
      <c r="C7" s="144">
        <f>ROUNDUP(C4-C6-0.9*C5,1)</f>
        <v>164.1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1.0946706521739131</v>
      </c>
      <c r="H8" s="143">
        <f t="shared" ref="H8:AD8" si="0">SUM(H5:H7)</f>
        <v>1.0946706521739131</v>
      </c>
      <c r="I8" s="143">
        <f t="shared" si="0"/>
        <v>1.4000484521739132</v>
      </c>
      <c r="J8" s="143">
        <f t="shared" si="0"/>
        <v>1.4000484521739132</v>
      </c>
      <c r="K8" s="143">
        <f t="shared" si="0"/>
        <v>2.9718376434782603</v>
      </c>
      <c r="L8" s="143">
        <f t="shared" si="0"/>
        <v>9.3458193451304368</v>
      </c>
      <c r="M8" s="143">
        <f t="shared" si="0"/>
        <v>11.668335785217391</v>
      </c>
      <c r="N8" s="143">
        <f t="shared" si="0"/>
        <v>11.641214668695655</v>
      </c>
      <c r="O8" s="143">
        <f t="shared" si="0"/>
        <v>12.460984148869567</v>
      </c>
      <c r="P8" s="143">
        <f t="shared" si="0"/>
        <v>10.550740074000002</v>
      </c>
      <c r="Q8" s="143">
        <f t="shared" si="0"/>
        <v>7.7176411200000015</v>
      </c>
      <c r="R8" s="143">
        <f t="shared" si="0"/>
        <v>2.6496430434782607</v>
      </c>
      <c r="S8" s="143">
        <f t="shared" si="0"/>
        <v>2.7379644782608694</v>
      </c>
      <c r="T8" s="143">
        <f t="shared" si="0"/>
        <v>2.7379644782608694</v>
      </c>
      <c r="U8" s="143">
        <f t="shared" si="0"/>
        <v>2.7379644782608694</v>
      </c>
      <c r="V8" s="143">
        <f t="shared" si="0"/>
        <v>2.7379644782608694</v>
      </c>
      <c r="W8" s="143">
        <f t="shared" si="0"/>
        <v>2.6496430434782607</v>
      </c>
      <c r="X8" s="143">
        <f t="shared" si="0"/>
        <v>2.6496430434782607</v>
      </c>
      <c r="Y8" s="143">
        <f t="shared" si="0"/>
        <v>5.9504028058695653</v>
      </c>
      <c r="Z8" s="143">
        <f t="shared" si="0"/>
        <v>9.2192052795652195</v>
      </c>
      <c r="AA8" s="143">
        <f t="shared" si="0"/>
        <v>4.0376962956521734</v>
      </c>
      <c r="AB8" s="143">
        <f t="shared" si="0"/>
        <v>4.0391956956521735</v>
      </c>
      <c r="AC8" s="143">
        <f t="shared" si="0"/>
        <v>1.0946706521739131</v>
      </c>
      <c r="AD8" s="143">
        <f t="shared" si="0"/>
        <v>1.0946706521739131</v>
      </c>
      <c r="AE8" s="153"/>
      <c r="AF8" s="144">
        <f>SUM(G8:AD8)</f>
        <v>115.68263941865217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2.4927524999999999</v>
      </c>
      <c r="R9" s="143">
        <f>CdTrp1!M218+CdTrp2!M218+CdTrp3!M218+CdTrp4!M218</f>
        <v>8.8277500956521742</v>
      </c>
      <c r="S9" s="143">
        <f>CdTrp1!N218+CdTrp2!N218+CdTrp3!N218+CdTrp4!N218</f>
        <v>9.1220084321739137</v>
      </c>
      <c r="T9" s="143">
        <f>CdTrp1!O218+CdTrp2!O218+CdTrp3!O218+CdTrp4!O218</f>
        <v>9.1220084321739137</v>
      </c>
      <c r="U9" s="143">
        <f>CdTrp1!P218+CdTrp2!P218+CdTrp3!P218+CdTrp4!P218</f>
        <v>9.1220084321739137</v>
      </c>
      <c r="V9" s="143">
        <f>CdTrp1!Q218+CdTrp2!Q218+CdTrp3!Q218+CdTrp4!Q218</f>
        <v>9.1220084321739137</v>
      </c>
      <c r="W9" s="143">
        <f>CdTrp1!R218+CdTrp2!R218+CdTrp3!R218+CdTrp4!R218</f>
        <v>8.4555775956521746</v>
      </c>
      <c r="X9" s="143">
        <f>CdTrp1!S218+CdTrp2!S218+CdTrp3!S218+CdTrp4!S218</f>
        <v>8.4555775956521746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64.719691515652173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64.5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26.5</v>
      </c>
      <c r="H18" s="158">
        <f>G18/G17</f>
        <v>0.41085271317829458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27</v>
      </c>
      <c r="H19" s="158">
        <f>G19/G17</f>
        <v>0.41860465116279072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11</v>
      </c>
      <c r="H21" s="158">
        <f>G21/G17</f>
        <v>0.17054263565891473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Q7" sqref="Q7:R13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1.0946706521739131</v>
      </c>
      <c r="AT5" s="13">
        <f>'Conduite Trp'!H8</f>
        <v>1.0946706521739131</v>
      </c>
      <c r="AU5" s="13">
        <f>'Conduite Trp'!I8</f>
        <v>1.4000484521739132</v>
      </c>
      <c r="AV5" s="13">
        <f>'Conduite Trp'!J8</f>
        <v>1.4000484521739132</v>
      </c>
      <c r="AW5" s="13">
        <f>'Conduite Trp'!K8</f>
        <v>2.9718376434782603</v>
      </c>
      <c r="AX5" s="13">
        <f>'Conduite Trp'!L8</f>
        <v>9.3458193451304368</v>
      </c>
      <c r="AY5" s="13">
        <f>'Conduite Trp'!M8</f>
        <v>11.668335785217391</v>
      </c>
      <c r="AZ5" s="13">
        <f>'Conduite Trp'!N8</f>
        <v>11.641214668695655</v>
      </c>
      <c r="BA5" s="13">
        <f>'Conduite Trp'!O8</f>
        <v>12.460984148869567</v>
      </c>
      <c r="BB5" s="13">
        <f>'Conduite Trp'!P8</f>
        <v>10.550740074000002</v>
      </c>
      <c r="BC5" s="13">
        <f>'Conduite Trp'!Q8</f>
        <v>7.7176411200000015</v>
      </c>
      <c r="BD5" s="13">
        <f>'Conduite Trp'!R8</f>
        <v>2.6496430434782607</v>
      </c>
      <c r="BE5" s="13">
        <f>'Conduite Trp'!S8</f>
        <v>2.7379644782608694</v>
      </c>
      <c r="BF5" s="13">
        <f>'Conduite Trp'!T8</f>
        <v>2.7379644782608694</v>
      </c>
      <c r="BG5" s="13">
        <f>'Conduite Trp'!U8</f>
        <v>2.7379644782608694</v>
      </c>
      <c r="BH5" s="13">
        <f>'Conduite Trp'!V8</f>
        <v>2.7379644782608694</v>
      </c>
      <c r="BI5" s="13">
        <f>'Conduite Trp'!W8</f>
        <v>2.6496430434782607</v>
      </c>
      <c r="BJ5" s="13">
        <f>'Conduite Trp'!X8</f>
        <v>2.6496430434782607</v>
      </c>
      <c r="BK5" s="13">
        <f>'Conduite Trp'!Y8</f>
        <v>5.9504028058695653</v>
      </c>
      <c r="BL5" s="13">
        <f>'Conduite Trp'!Z8</f>
        <v>9.2192052795652195</v>
      </c>
      <c r="BM5" s="13">
        <f>'Conduite Trp'!AA8</f>
        <v>4.0376962956521734</v>
      </c>
      <c r="BN5" s="13">
        <f>'Conduite Trp'!AB8</f>
        <v>4.0391956956521735</v>
      </c>
      <c r="BO5" s="13">
        <f>'Conduite Trp'!AC8</f>
        <v>1.0946706521739131</v>
      </c>
      <c r="BP5" s="13">
        <f>'Conduite Trp'!AD8</f>
        <v>1.0946706521739131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310</v>
      </c>
      <c r="R7" s="39">
        <v>6</v>
      </c>
      <c r="S7" s="290" t="str">
        <f>VLOOKUP($Q7,[1]MEP!$A$5:$D$300,3)</f>
        <v>PP BONNE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3.5</v>
      </c>
      <c r="W7" s="76">
        <f>VLOOKUP($Q7,[1]MEP!$A$4:$K$300,6)</f>
        <v>0</v>
      </c>
      <c r="X7" s="76">
        <f>VLOOKUP($Q7,[1]MEP!$A$4:$K$300,7)</f>
        <v>1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21</v>
      </c>
      <c r="AF7" s="61">
        <f t="shared" ref="AF7:AF26" si="1">$R7*W7</f>
        <v>0</v>
      </c>
      <c r="AG7" s="61">
        <f t="shared" ref="AG7:AG26" si="2">$R7*X7</f>
        <v>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22.799999999999997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11.668335785217391</v>
      </c>
      <c r="AZ7" s="61">
        <f t="shared" si="7"/>
        <v>11.641214668695655</v>
      </c>
      <c r="BA7" s="61">
        <f t="shared" si="7"/>
        <v>12.460984148869567</v>
      </c>
      <c r="BB7" s="61">
        <f t="shared" si="7"/>
        <v>10.550740074000002</v>
      </c>
      <c r="BC7" s="61">
        <f t="shared" si="7"/>
        <v>7.7176411200000015</v>
      </c>
      <c r="BD7" s="61">
        <f t="shared" si="7"/>
        <v>2.6496430434782607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56.688558840260889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58.879999999999995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3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3.9000000000000004</v>
      </c>
      <c r="AF8" s="61">
        <f t="shared" si="1"/>
        <v>0</v>
      </c>
      <c r="AG8" s="61">
        <f t="shared" si="2"/>
        <v>5.0999999999999996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2.7379644782608694</v>
      </c>
      <c r="BF8" s="61">
        <f t="shared" si="8"/>
        <v>2.7379644782608694</v>
      </c>
      <c r="BG8" s="61">
        <f t="shared" si="8"/>
        <v>2.7379644782608694</v>
      </c>
      <c r="BH8" s="61">
        <f t="shared" si="8"/>
        <v>2.7379644782608694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10.951857913043478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58.879999999999995</v>
      </c>
      <c r="G9" s="81"/>
      <c r="H9" s="61">
        <f>SUM(L34:L43)</f>
        <v>9</v>
      </c>
      <c r="I9" s="81"/>
      <c r="J9" s="81"/>
      <c r="K9" s="93">
        <f>H9-F9</f>
        <v>-49.879999999999995</v>
      </c>
      <c r="L9" s="81"/>
      <c r="M9" s="100"/>
      <c r="P9">
        <v>3</v>
      </c>
      <c r="Q9" s="39">
        <v>228</v>
      </c>
      <c r="R9" s="39">
        <v>1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1.6</v>
      </c>
      <c r="AF9" s="61">
        <f t="shared" si="1"/>
        <v>1.4</v>
      </c>
      <c r="AG9" s="61">
        <f t="shared" si="2"/>
        <v>1.2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1.0946706521739131</v>
      </c>
      <c r="AT9" s="61">
        <f t="shared" ref="AT9:BP9" si="10">IF(AT$4=3,AT$5,0)</f>
        <v>1.0946706521739131</v>
      </c>
      <c r="AU9" s="61">
        <f t="shared" si="10"/>
        <v>1.4000484521739132</v>
      </c>
      <c r="AV9" s="61">
        <f t="shared" si="10"/>
        <v>1.4000484521739132</v>
      </c>
      <c r="AW9" s="61">
        <f t="shared" si="10"/>
        <v>2.9718376434782603</v>
      </c>
      <c r="AX9" s="61">
        <f t="shared" si="10"/>
        <v>9.3458193451304368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2.6496430434782607</v>
      </c>
      <c r="BJ9" s="61">
        <f t="shared" si="10"/>
        <v>2.6496430434782607</v>
      </c>
      <c r="BK9" s="61">
        <f t="shared" si="10"/>
        <v>5.9504028058695653</v>
      </c>
      <c r="BL9" s="61">
        <f t="shared" si="10"/>
        <v>9.2192052795652195</v>
      </c>
      <c r="BM9" s="61">
        <f t="shared" si="10"/>
        <v>4.0376962956521734</v>
      </c>
      <c r="BN9" s="61">
        <f t="shared" si="10"/>
        <v>4.0391956956521735</v>
      </c>
      <c r="BO9" s="61">
        <f t="shared" si="10"/>
        <v>1.0946706521739131</v>
      </c>
      <c r="BP9" s="61">
        <f t="shared" si="10"/>
        <v>1.0946706521739131</v>
      </c>
      <c r="BR9" s="61">
        <f t="shared" si="9"/>
        <v>48.042222665347822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>
        <v>6.5</v>
      </c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3.25</v>
      </c>
      <c r="AF10" s="61">
        <f t="shared" si="1"/>
        <v>4.55</v>
      </c>
      <c r="AG10" s="61">
        <f t="shared" si="2"/>
        <v>12.35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18.2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>
        <v>2</v>
      </c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4</v>
      </c>
      <c r="AF13" s="61">
        <f t="shared" si="1"/>
        <v>0</v>
      </c>
      <c r="AG13" s="61">
        <f t="shared" si="2"/>
        <v>4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9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0.41131366956521737</v>
      </c>
      <c r="AV15" s="13">
        <f>'Conduite Trp'!J5</f>
        <v>0.41131366956521737</v>
      </c>
      <c r="AW15" s="13">
        <f>'Conduite Trp'!K5</f>
        <v>0.45538299130434778</v>
      </c>
      <c r="AX15" s="13">
        <f>'Conduite Trp'!L5</f>
        <v>6.7701236929565232</v>
      </c>
      <c r="AY15" s="13">
        <f>'Conduite Trp'!M5</f>
        <v>9.233057089565218</v>
      </c>
      <c r="AZ15" s="13">
        <f>'Conduite Trp'!N5</f>
        <v>6.6603957730434811</v>
      </c>
      <c r="BA15" s="13">
        <f>'Conduite Trp'!O5</f>
        <v>7.6314062032173924</v>
      </c>
      <c r="BB15" s="13">
        <f>'Conduite Trp'!P5</f>
        <v>6.5531118240000019</v>
      </c>
      <c r="BC15" s="13">
        <f>'Conduite Trp'!Q5</f>
        <v>6.3417211200000017</v>
      </c>
      <c r="BD15" s="13">
        <f>'Conduite Trp'!R5</f>
        <v>1.2737230434782609</v>
      </c>
      <c r="BE15" s="13">
        <f>'Conduite Trp'!S5</f>
        <v>1.3161804782608697</v>
      </c>
      <c r="BF15" s="13">
        <f>'Conduite Trp'!T5</f>
        <v>1.3161804782608697</v>
      </c>
      <c r="BG15" s="13">
        <f>'Conduite Trp'!U5</f>
        <v>1.3161804782608697</v>
      </c>
      <c r="BH15" s="13">
        <f>'Conduite Trp'!V5</f>
        <v>1.3161804782608697</v>
      </c>
      <c r="BI15" s="13">
        <f>'Conduite Trp'!W5</f>
        <v>1.2737230434782609</v>
      </c>
      <c r="BJ15" s="13">
        <f>'Conduite Trp'!X5</f>
        <v>1.2737230434782609</v>
      </c>
      <c r="BK15" s="13">
        <f>'Conduite Trp'!Y5</f>
        <v>4.5286188058695656</v>
      </c>
      <c r="BL15" s="13">
        <f>'Conduite Trp'!Z5</f>
        <v>8.1245346273913057</v>
      </c>
      <c r="BM15" s="13">
        <f>'Conduite Trp'!AA5</f>
        <v>2.9783375999999997</v>
      </c>
      <c r="BN15" s="13">
        <f>'Conduite Trp'!AB5</f>
        <v>2.9798369999999998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1.0946706521739131</v>
      </c>
      <c r="AT16" s="13">
        <f>'Conduite Trp'!H6</f>
        <v>1.0946706521739131</v>
      </c>
      <c r="AU16" s="13">
        <f>'Conduite Trp'!I6</f>
        <v>0.98873478260869574</v>
      </c>
      <c r="AV16" s="13">
        <f>'Conduite Trp'!J6</f>
        <v>0.98873478260869574</v>
      </c>
      <c r="AW16" s="13">
        <f>'Conduite Trp'!K6</f>
        <v>2.5164546521739126</v>
      </c>
      <c r="AX16" s="13">
        <f>'Conduite Trp'!L6</f>
        <v>2.5756956521739127</v>
      </c>
      <c r="AY16" s="13">
        <f>'Conduite Trp'!M6</f>
        <v>2.4352786956521735</v>
      </c>
      <c r="AZ16" s="13">
        <f>'Conduite Trp'!N6</f>
        <v>4.9808188956521739</v>
      </c>
      <c r="BA16" s="13">
        <f>'Conduite Trp'!O6</f>
        <v>4.8295779456521739</v>
      </c>
      <c r="BB16" s="13">
        <f>'Conduite Trp'!P6</f>
        <v>3.99762825</v>
      </c>
      <c r="BC16" s="13">
        <f>'Conduite Trp'!Q6</f>
        <v>1.3759199999999998</v>
      </c>
      <c r="BD16" s="13">
        <f>'Conduite Trp'!R6</f>
        <v>1.3759199999999998</v>
      </c>
      <c r="BE16" s="13">
        <f>'Conduite Trp'!S6</f>
        <v>1.4217839999999997</v>
      </c>
      <c r="BF16" s="13">
        <f>'Conduite Trp'!T6</f>
        <v>1.4217839999999997</v>
      </c>
      <c r="BG16" s="13">
        <f>'Conduite Trp'!U6</f>
        <v>1.4217839999999997</v>
      </c>
      <c r="BH16" s="13">
        <f>'Conduite Trp'!V6</f>
        <v>1.4217839999999997</v>
      </c>
      <c r="BI16" s="13">
        <f>'Conduite Trp'!W6</f>
        <v>1.3759199999999998</v>
      </c>
      <c r="BJ16" s="13">
        <f>'Conduite Trp'!X6</f>
        <v>1.3759199999999998</v>
      </c>
      <c r="BK16" s="13">
        <f>'Conduite Trp'!Y6</f>
        <v>1.4217839999999997</v>
      </c>
      <c r="BL16" s="13">
        <f>'Conduite Trp'!Z6</f>
        <v>1.0946706521739131</v>
      </c>
      <c r="BM16" s="13">
        <f>'Conduite Trp'!AA6</f>
        <v>1.0593586956521739</v>
      </c>
      <c r="BN16" s="13">
        <f>'Conduite Trp'!AB6</f>
        <v>1.0593586956521739</v>
      </c>
      <c r="BO16" s="13">
        <f>'Conduite Trp'!AC6</f>
        <v>1.0946706521739131</v>
      </c>
      <c r="BP16" s="13">
        <f>'Conduite Trp'!AD6</f>
        <v>1.0946706521739131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9.233057089565218</v>
      </c>
      <c r="AZ19" s="61">
        <f t="shared" si="15"/>
        <v>6.6603957730434811</v>
      </c>
      <c r="BA19" s="61">
        <f t="shared" si="15"/>
        <v>7.6314062032173924</v>
      </c>
      <c r="BB19" s="61">
        <f t="shared" si="15"/>
        <v>6.5531118240000019</v>
      </c>
      <c r="BC19" s="61">
        <f t="shared" si="15"/>
        <v>6.3417211200000017</v>
      </c>
      <c r="BD19" s="61">
        <f t="shared" si="15"/>
        <v>1.2737230434782609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37.693415053304356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1.3161804782608697</v>
      </c>
      <c r="BF20" s="61">
        <f t="shared" si="16"/>
        <v>1.3161804782608697</v>
      </c>
      <c r="BG20" s="61">
        <f t="shared" si="16"/>
        <v>1.3161804782608697</v>
      </c>
      <c r="BH20" s="61">
        <f t="shared" si="16"/>
        <v>1.3161804782608697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5.2647219130434788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0.41131366956521737</v>
      </c>
      <c r="AV21" s="61">
        <f t="shared" si="18"/>
        <v>0.41131366956521737</v>
      </c>
      <c r="AW21" s="61">
        <f t="shared" si="18"/>
        <v>0.45538299130434778</v>
      </c>
      <c r="AX21" s="61">
        <f t="shared" si="18"/>
        <v>6.7701236929565232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1.2737230434782609</v>
      </c>
      <c r="BJ21" s="61">
        <f t="shared" si="18"/>
        <v>1.2737230434782609</v>
      </c>
      <c r="BK21" s="61">
        <f t="shared" si="18"/>
        <v>4.5286188058695656</v>
      </c>
      <c r="BL21" s="61">
        <f t="shared" si="18"/>
        <v>8.1245346273913057</v>
      </c>
      <c r="BM21" s="61">
        <f t="shared" si="18"/>
        <v>2.9783375999999997</v>
      </c>
      <c r="BN21" s="61">
        <f t="shared" si="18"/>
        <v>2.9798369999999998</v>
      </c>
      <c r="BO21" s="61">
        <f t="shared" si="18"/>
        <v>0</v>
      </c>
      <c r="BP21" s="61">
        <f t="shared" si="18"/>
        <v>0</v>
      </c>
      <c r="BR21" s="61">
        <f t="shared" si="17"/>
        <v>29.2069081436087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57.506200000000007</v>
      </c>
      <c r="E24" s="61">
        <f t="shared" si="21"/>
        <v>13.396999999999998</v>
      </c>
      <c r="F24" s="61">
        <f t="shared" si="21"/>
        <v>61.61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135.89716000000001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56.688558840260889</v>
      </c>
      <c r="E25" s="61">
        <f>BR8</f>
        <v>10.951857913043478</v>
      </c>
      <c r="F25" s="61">
        <f>BR9</f>
        <v>48.042222665347822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164.1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0.817641159739118</v>
      </c>
      <c r="E27" s="93">
        <f t="shared" si="23"/>
        <v>2.4451420869565208</v>
      </c>
      <c r="F27" s="93">
        <f t="shared" si="23"/>
        <v>13.567777334652178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-28.202839999999981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38.03</v>
      </c>
      <c r="AF27" s="75">
        <f t="shared" ref="AF27:AJ27" si="24">SUM(AF7:AF26)</f>
        <v>5.9499999999999993</v>
      </c>
      <c r="AG27" s="75">
        <f t="shared" si="24"/>
        <v>38.494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92.468000000000004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2.4352786956521735</v>
      </c>
      <c r="AZ27" s="61">
        <f t="shared" si="25"/>
        <v>4.9808188956521739</v>
      </c>
      <c r="BA27" s="61">
        <f t="shared" si="25"/>
        <v>4.8295779456521739</v>
      </c>
      <c r="BB27" s="61">
        <f t="shared" si="25"/>
        <v>3.99762825</v>
      </c>
      <c r="BC27" s="61">
        <f t="shared" si="25"/>
        <v>1.3759199999999998</v>
      </c>
      <c r="BD27" s="61">
        <f t="shared" si="25"/>
        <v>1.3759199999999998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18.995143786956525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1.4217839999999997</v>
      </c>
      <c r="BF28" s="61">
        <f t="shared" si="26"/>
        <v>1.4217839999999997</v>
      </c>
      <c r="BG28" s="61">
        <f t="shared" si="26"/>
        <v>1.4217839999999997</v>
      </c>
      <c r="BH28" s="61">
        <f t="shared" si="26"/>
        <v>1.4217839999999997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5.6871359999999989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2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7</v>
      </c>
      <c r="AF29" s="61">
        <f t="shared" ref="AF29:AF48" si="29">$R29*W29</f>
        <v>5.2</v>
      </c>
      <c r="AG29" s="61">
        <f t="shared" ref="AG29:AG48" si="30">$R29*X29</f>
        <v>3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1.0946706521739131</v>
      </c>
      <c r="AT29" s="61">
        <f t="shared" ref="AT29:BP29" si="35">IF(AT$4=3,AT$16,0)</f>
        <v>1.0946706521739131</v>
      </c>
      <c r="AU29" s="61">
        <f t="shared" si="35"/>
        <v>0.98873478260869574</v>
      </c>
      <c r="AV29" s="61">
        <f t="shared" si="35"/>
        <v>0.98873478260869574</v>
      </c>
      <c r="AW29" s="61">
        <f t="shared" si="35"/>
        <v>2.5164546521739126</v>
      </c>
      <c r="AX29" s="61">
        <f t="shared" si="35"/>
        <v>2.5756956521739127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1.3759199999999998</v>
      </c>
      <c r="BJ29" s="61">
        <f t="shared" si="35"/>
        <v>1.3759199999999998</v>
      </c>
      <c r="BK29" s="61">
        <f t="shared" si="35"/>
        <v>1.4217839999999997</v>
      </c>
      <c r="BL29" s="61">
        <f t="shared" si="35"/>
        <v>1.0946706521739131</v>
      </c>
      <c r="BM29" s="61">
        <f t="shared" si="35"/>
        <v>1.0593586956521739</v>
      </c>
      <c r="BN29" s="61">
        <f t="shared" si="35"/>
        <v>1.0593586956521739</v>
      </c>
      <c r="BO29" s="61">
        <f t="shared" si="35"/>
        <v>1.0946706521739131</v>
      </c>
      <c r="BP29" s="61">
        <f t="shared" si="35"/>
        <v>1.0946706521739131</v>
      </c>
      <c r="BR29" s="61">
        <f t="shared" si="27"/>
        <v>18.835314521739132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>
        <v>1.5</v>
      </c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1.605</v>
      </c>
      <c r="AF31" s="61">
        <f t="shared" si="29"/>
        <v>2.2469999999999999</v>
      </c>
      <c r="AG31" s="61">
        <f t="shared" si="30"/>
        <v>3.5310000000000006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5.4569999999999999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2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5.5212000000000003</v>
      </c>
      <c r="AF32" s="61">
        <f t="shared" si="29"/>
        <v>0</v>
      </c>
      <c r="AG32" s="61">
        <f t="shared" si="30"/>
        <v>4.28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8.0121599999999997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19.476200000000002</v>
      </c>
      <c r="AF49" s="75">
        <f t="shared" ref="AF49" si="50">SUM(AF29:AF48)</f>
        <v>7.4470000000000001</v>
      </c>
      <c r="AG49" s="75">
        <f t="shared" ref="AG49" si="51">SUM(AG29:AG48)</f>
        <v>23.116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43.429160000000003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38.03</v>
      </c>
      <c r="E72" s="61">
        <f t="shared" ref="E72:H72" si="69">AF27</f>
        <v>5.9499999999999993</v>
      </c>
      <c r="F72" s="61">
        <f t="shared" si="69"/>
        <v>38.494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135.89716000000001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37.693415053304356</v>
      </c>
      <c r="E73" s="61">
        <f>BR20</f>
        <v>5.2647219130434788</v>
      </c>
      <c r="F73" s="61">
        <f>BR21</f>
        <v>29.2069081436087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164.1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0.33658494669564476</v>
      </c>
      <c r="E75" s="93">
        <f t="shared" ref="E75:I75" si="71">E72-E73</f>
        <v>0.68527808695652048</v>
      </c>
      <c r="F75" s="93">
        <f t="shared" si="71"/>
        <v>9.2870918563912994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-28.202839999999981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19.476200000000002</v>
      </c>
      <c r="E82" s="61">
        <f t="shared" ref="E82:H82" si="72">AF49</f>
        <v>7.4470000000000001</v>
      </c>
      <c r="F82" s="61">
        <f t="shared" si="72"/>
        <v>23.116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18.995143786956525</v>
      </c>
      <c r="E83" s="61">
        <f>BR28</f>
        <v>5.6871359999999989</v>
      </c>
      <c r="F83" s="61">
        <f>BR29</f>
        <v>18.835314521739132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0.48105621304347679</v>
      </c>
      <c r="E85" s="93">
        <f t="shared" ref="E85:H85" si="73">E82-E83</f>
        <v>1.7598640000000012</v>
      </c>
      <c r="F85" s="93">
        <f t="shared" si="73"/>
        <v>4.2806854782608674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9" sqref="O19:Q32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>
        <v>6</v>
      </c>
      <c r="P29" s="26"/>
      <c r="Q29" s="155">
        <v>3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>
        <v>6</v>
      </c>
      <c r="P30" s="26"/>
      <c r="Q30" s="155">
        <v>3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>
        <v>6</v>
      </c>
      <c r="P31" s="26"/>
      <c r="Q31" s="155">
        <v>3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>
        <v>6</v>
      </c>
      <c r="P32" s="26"/>
      <c r="Q32" s="155">
        <v>3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5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ref="Q20:Q65" si="16">O33-P33</f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6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6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6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6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6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6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6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6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6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6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6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6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6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6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6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6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6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6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6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6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6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6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6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6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6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6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6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6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6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6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6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6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46" zoomScale="80" zoomScaleNormal="80" workbookViewId="0">
      <selection activeCell="S60" sqref="S6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30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14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/>
    </row>
    <row r="55" spans="10:16" x14ac:dyDescent="0.25">
      <c r="J55" s="14" t="s">
        <v>570</v>
      </c>
      <c r="K55" s="80"/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573</v>
      </c>
      <c r="N57" t="s">
        <v>575</v>
      </c>
      <c r="P57" t="s">
        <v>576</v>
      </c>
    </row>
    <row r="58" spans="10:16" x14ac:dyDescent="0.25">
      <c r="J58" s="14" t="s">
        <v>577</v>
      </c>
      <c r="K58" s="80"/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>
        <v>3.5</v>
      </c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>
        <v>42</v>
      </c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>
        <v>4</v>
      </c>
      <c r="R79">
        <v>4</v>
      </c>
    </row>
    <row r="80" spans="10:22" x14ac:dyDescent="0.25">
      <c r="J80" s="14" t="s">
        <v>604</v>
      </c>
      <c r="K80" s="80">
        <v>16</v>
      </c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/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/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/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1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1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6.5</v>
      </c>
      <c r="T167" s="173">
        <f>VLOOKUP(R167,[1]MEP!$A$4:$M$300,13)</f>
        <v>1</v>
      </c>
      <c r="U167" s="173">
        <f t="shared" si="10"/>
        <v>6.5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6.5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6.5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10"/>
        <v>2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2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2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10"/>
        <v>1.5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1.5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1.5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10"/>
        <v>2</v>
      </c>
      <c r="V189" s="173">
        <f t="shared" si="11"/>
        <v>2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30</v>
      </c>
      <c r="V228" s="62">
        <f t="shared" ref="V228:W228" si="22">SUM(V164:V227)</f>
        <v>14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3</v>
      </c>
      <c r="AI228" s="62">
        <f t="shared" si="24"/>
        <v>16</v>
      </c>
      <c r="AJ228" s="62">
        <f t="shared" si="24"/>
        <v>5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7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2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2</v>
      </c>
      <c r="H4" s="177">
        <f t="shared" si="1"/>
        <v>2</v>
      </c>
      <c r="I4" s="177">
        <f t="shared" si="1"/>
        <v>2</v>
      </c>
      <c r="J4" s="177">
        <f t="shared" si="1"/>
        <v>2</v>
      </c>
      <c r="K4" s="177">
        <f t="shared" si="1"/>
        <v>1</v>
      </c>
      <c r="L4" s="177">
        <f t="shared" si="1"/>
        <v>1</v>
      </c>
      <c r="M4" s="177">
        <f t="shared" si="1"/>
        <v>1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1</v>
      </c>
      <c r="V4" s="177">
        <f t="shared" si="1"/>
        <v>2</v>
      </c>
      <c r="W4" s="177">
        <f t="shared" si="1"/>
        <v>2</v>
      </c>
      <c r="X4" s="177">
        <f t="shared" si="1"/>
        <v>2</v>
      </c>
      <c r="Y4" s="177">
        <f t="shared" si="1"/>
        <v>2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8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1</v>
      </c>
      <c r="O6" s="177">
        <f t="shared" si="12"/>
        <v>1</v>
      </c>
      <c r="P6" s="177">
        <f t="shared" si="12"/>
        <v>1</v>
      </c>
      <c r="Q6" s="177">
        <f t="shared" si="12"/>
        <v>1</v>
      </c>
      <c r="R6" s="177">
        <f t="shared" si="12"/>
        <v>1</v>
      </c>
      <c r="S6" s="177">
        <f t="shared" si="12"/>
        <v>1</v>
      </c>
      <c r="T6" s="177">
        <f t="shared" si="12"/>
        <v>1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0</v>
      </c>
      <c r="O7" s="177">
        <f t="shared" si="13"/>
        <v>0</v>
      </c>
      <c r="P7" s="177">
        <f t="shared" si="13"/>
        <v>0</v>
      </c>
      <c r="Q7" s="177">
        <f t="shared" si="13"/>
        <v>0</v>
      </c>
      <c r="R7" s="177">
        <f t="shared" si="13"/>
        <v>0</v>
      </c>
      <c r="S7" s="177">
        <f t="shared" si="13"/>
        <v>0</v>
      </c>
      <c r="T7" s="177">
        <f t="shared" si="13"/>
        <v>0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8</v>
      </c>
      <c r="H8" s="177">
        <f>(H3+H4)*[1]Protect!$B$12</f>
        <v>8</v>
      </c>
      <c r="I8" s="177">
        <f>(I3+I4)*[1]Protect!$B$12</f>
        <v>8</v>
      </c>
      <c r="J8" s="177">
        <f>(J3+J4)*[1]Protect!$B$12</f>
        <v>8</v>
      </c>
      <c r="K8" s="177">
        <f>(K3+K4)*[1]Protect!$B$12</f>
        <v>8</v>
      </c>
      <c r="L8" s="177">
        <f>(L3+L4)*[1]Protect!$B$12</f>
        <v>6</v>
      </c>
      <c r="M8" s="177">
        <f>(M3+M4)*[1]Protect!$B$12</f>
        <v>6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6</v>
      </c>
      <c r="V8" s="177">
        <f>(V3+V4)*[1]Protect!$B$12</f>
        <v>8</v>
      </c>
      <c r="W8" s="177">
        <f>(W3+W4)*[1]Protect!$B$12</f>
        <v>4</v>
      </c>
      <c r="X8" s="177">
        <f>(X3+X4)*[1]Protect!$B$12</f>
        <v>4</v>
      </c>
      <c r="Y8" s="177">
        <f>(Y3+Y4)*[1]Protect!$B$12</f>
        <v>4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3</v>
      </c>
      <c r="O10" s="177">
        <f>O6*[1]Protect!$B$14</f>
        <v>3</v>
      </c>
      <c r="P10" s="177">
        <f>P6*[1]Protect!$B$14</f>
        <v>3</v>
      </c>
      <c r="Q10" s="177">
        <f>Q6*[1]Protect!$B$14</f>
        <v>3</v>
      </c>
      <c r="R10" s="177">
        <f>R6*[1]Protect!$B$14</f>
        <v>3</v>
      </c>
      <c r="S10" s="177">
        <f>S6*[1]Protect!$B$14</f>
        <v>3</v>
      </c>
      <c r="T10" s="177">
        <f>T6*[1]Protect!$B$14</f>
        <v>3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8</v>
      </c>
      <c r="H11" s="177">
        <f t="shared" si="14"/>
        <v>8</v>
      </c>
      <c r="I11" s="177">
        <f t="shared" si="14"/>
        <v>8</v>
      </c>
      <c r="J11" s="177">
        <f t="shared" si="14"/>
        <v>8</v>
      </c>
      <c r="K11" s="177">
        <f t="shared" si="14"/>
        <v>8</v>
      </c>
      <c r="L11" s="177">
        <f t="shared" si="14"/>
        <v>6</v>
      </c>
      <c r="M11" s="177">
        <f t="shared" si="14"/>
        <v>6</v>
      </c>
      <c r="N11" s="177">
        <f t="shared" si="14"/>
        <v>5</v>
      </c>
      <c r="O11" s="177">
        <f t="shared" si="14"/>
        <v>5</v>
      </c>
      <c r="P11" s="177">
        <f t="shared" si="14"/>
        <v>5</v>
      </c>
      <c r="Q11" s="177">
        <f t="shared" si="14"/>
        <v>5</v>
      </c>
      <c r="R11" s="177">
        <f t="shared" si="14"/>
        <v>5</v>
      </c>
      <c r="S11" s="177">
        <f t="shared" si="14"/>
        <v>5</v>
      </c>
      <c r="T11" s="177">
        <f t="shared" si="14"/>
        <v>5</v>
      </c>
      <c r="U11" s="177">
        <f t="shared" si="14"/>
        <v>6</v>
      </c>
      <c r="V11" s="177">
        <f t="shared" si="14"/>
        <v>8</v>
      </c>
      <c r="W11" s="177">
        <f t="shared" si="14"/>
        <v>4</v>
      </c>
      <c r="X11" s="177">
        <f t="shared" si="14"/>
        <v>4</v>
      </c>
      <c r="Y11" s="177">
        <f t="shared" si="14"/>
        <v>4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0</v>
      </c>
      <c r="O12" s="177">
        <f>O7*[1]Protect!$B$15</f>
        <v>0</v>
      </c>
      <c r="P12" s="177">
        <f>P7*[1]Protect!$B$15</f>
        <v>0</v>
      </c>
      <c r="Q12" s="177">
        <f>Q7*[1]Protect!$B$15</f>
        <v>0</v>
      </c>
      <c r="R12" s="177">
        <f>R7*[1]Protect!$B$15</f>
        <v>0</v>
      </c>
      <c r="S12" s="177">
        <f>S7*[1]Protect!$B$15</f>
        <v>0</v>
      </c>
      <c r="T12" s="177">
        <f>T7*[1]Protect!$B$15</f>
        <v>0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8</v>
      </c>
      <c r="H13" s="177">
        <f t="shared" si="15"/>
        <v>8</v>
      </c>
      <c r="I13" s="177">
        <f t="shared" si="15"/>
        <v>8</v>
      </c>
      <c r="J13" s="177">
        <f t="shared" si="15"/>
        <v>8</v>
      </c>
      <c r="K13" s="177">
        <f t="shared" si="15"/>
        <v>8</v>
      </c>
      <c r="L13" s="177">
        <f t="shared" si="15"/>
        <v>6</v>
      </c>
      <c r="M13" s="177">
        <f t="shared" si="15"/>
        <v>6</v>
      </c>
      <c r="N13" s="177">
        <f t="shared" si="15"/>
        <v>5</v>
      </c>
      <c r="O13" s="177">
        <f t="shared" si="15"/>
        <v>5</v>
      </c>
      <c r="P13" s="177">
        <f t="shared" si="15"/>
        <v>5</v>
      </c>
      <c r="Q13" s="177">
        <f t="shared" si="15"/>
        <v>5</v>
      </c>
      <c r="R13" s="177">
        <f t="shared" si="15"/>
        <v>5</v>
      </c>
      <c r="S13" s="177">
        <f t="shared" si="15"/>
        <v>5</v>
      </c>
      <c r="T13" s="177">
        <f t="shared" si="15"/>
        <v>5</v>
      </c>
      <c r="U13" s="177">
        <f t="shared" si="15"/>
        <v>6</v>
      </c>
      <c r="V13" s="177">
        <f t="shared" si="15"/>
        <v>8</v>
      </c>
      <c r="W13" s="177">
        <f t="shared" si="15"/>
        <v>4</v>
      </c>
      <c r="X13" s="177">
        <f t="shared" si="15"/>
        <v>4</v>
      </c>
      <c r="Y13" s="177">
        <f t="shared" si="15"/>
        <v>4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2</v>
      </c>
      <c r="D15" s="173">
        <f t="shared" si="16"/>
        <v>2</v>
      </c>
      <c r="E15" s="173">
        <f t="shared" si="16"/>
        <v>2</v>
      </c>
      <c r="F15" s="173">
        <f t="shared" si="16"/>
        <v>2</v>
      </c>
      <c r="G15" s="173">
        <f t="shared" si="16"/>
        <v>2</v>
      </c>
      <c r="H15" s="173">
        <f t="shared" si="16"/>
        <v>2</v>
      </c>
      <c r="I15" s="173">
        <f t="shared" si="16"/>
        <v>2</v>
      </c>
      <c r="J15" s="173">
        <f t="shared" si="16"/>
        <v>2</v>
      </c>
      <c r="K15" s="173">
        <f t="shared" si="16"/>
        <v>2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2</v>
      </c>
      <c r="W15" s="173">
        <f t="shared" si="16"/>
        <v>2</v>
      </c>
      <c r="X15" s="173">
        <f t="shared" si="16"/>
        <v>2</v>
      </c>
      <c r="Y15" s="173">
        <f t="shared" si="16"/>
        <v>2</v>
      </c>
      <c r="Z15" s="173">
        <f t="shared" si="16"/>
        <v>2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3</v>
      </c>
      <c r="D18" s="62">
        <f t="shared" ref="D18:Z18" si="19">IF(AND(D15=0,(D16+D17)&gt;0),1,IF(AND(D15&gt;0,(D16+D17)&gt;0),D15+1,D15))</f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1</v>
      </c>
      <c r="O19" s="62">
        <f t="shared" si="20"/>
        <v>1</v>
      </c>
      <c r="P19" s="62">
        <f t="shared" si="20"/>
        <v>1</v>
      </c>
      <c r="Q19" s="62">
        <f t="shared" si="20"/>
        <v>1</v>
      </c>
      <c r="R19" s="62">
        <f t="shared" si="20"/>
        <v>1</v>
      </c>
      <c r="S19" s="62">
        <f t="shared" si="20"/>
        <v>1</v>
      </c>
      <c r="T19" s="62">
        <f t="shared" si="20"/>
        <v>1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0</v>
      </c>
      <c r="O20" s="173">
        <f t="shared" si="21"/>
        <v>0</v>
      </c>
      <c r="P20" s="173">
        <f t="shared" si="21"/>
        <v>0</v>
      </c>
      <c r="Q20" s="173">
        <f t="shared" si="21"/>
        <v>0</v>
      </c>
      <c r="R20" s="173">
        <f t="shared" si="21"/>
        <v>0</v>
      </c>
      <c r="S20" s="173">
        <f t="shared" si="21"/>
        <v>0</v>
      </c>
      <c r="T20" s="173">
        <f t="shared" si="21"/>
        <v>0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3</v>
      </c>
      <c r="D22" s="62">
        <f t="shared" ref="D22:Z22" si="22">D18+D19+D21</f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718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1</v>
      </c>
      <c r="N27" s="177">
        <f t="shared" si="25"/>
        <v>1</v>
      </c>
      <c r="O27" s="177">
        <f t="shared" si="25"/>
        <v>1</v>
      </c>
      <c r="P27" s="177">
        <f t="shared" si="25"/>
        <v>1</v>
      </c>
      <c r="Q27" s="177">
        <f t="shared" si="25"/>
        <v>1</v>
      </c>
      <c r="R27" s="177">
        <f t="shared" si="25"/>
        <v>1</v>
      </c>
      <c r="S27" s="177">
        <f t="shared" si="25"/>
        <v>1</v>
      </c>
      <c r="T27" s="177">
        <f t="shared" si="25"/>
        <v>1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0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1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3</v>
      </c>
      <c r="N31" s="177">
        <f>N27*[1]Protect!$B$14</f>
        <v>3</v>
      </c>
      <c r="O31" s="177">
        <f>O27*[1]Protect!$B$14</f>
        <v>3</v>
      </c>
      <c r="P31" s="177">
        <f>P27*[1]Protect!$B$14</f>
        <v>3</v>
      </c>
      <c r="Q31" s="177">
        <f>Q27*[1]Protect!$B$14</f>
        <v>3</v>
      </c>
      <c r="R31" s="177">
        <f>R27*[1]Protect!$B$14</f>
        <v>3</v>
      </c>
      <c r="S31" s="177">
        <f>S27*[1]Protect!$B$14</f>
        <v>3</v>
      </c>
      <c r="T31" s="177">
        <f>T27*[1]Protect!$B$14</f>
        <v>3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1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7</v>
      </c>
      <c r="N32" s="177">
        <f t="shared" si="28"/>
        <v>7</v>
      </c>
      <c r="O32" s="177">
        <f t="shared" si="28"/>
        <v>7</v>
      </c>
      <c r="P32" s="177">
        <f t="shared" si="28"/>
        <v>7</v>
      </c>
      <c r="Q32" s="177">
        <f t="shared" si="28"/>
        <v>7</v>
      </c>
      <c r="R32" s="177">
        <f t="shared" si="28"/>
        <v>7</v>
      </c>
      <c r="S32" s="177">
        <f t="shared" si="28"/>
        <v>7</v>
      </c>
      <c r="T32" s="177">
        <f t="shared" si="28"/>
        <v>7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14</v>
      </c>
      <c r="N34" s="177">
        <f t="shared" si="29"/>
        <v>14</v>
      </c>
      <c r="O34" s="177">
        <f t="shared" si="29"/>
        <v>14</v>
      </c>
      <c r="P34" s="177">
        <f t="shared" si="29"/>
        <v>14</v>
      </c>
      <c r="Q34" s="177">
        <f t="shared" si="29"/>
        <v>14</v>
      </c>
      <c r="R34" s="177">
        <f t="shared" si="29"/>
        <v>14</v>
      </c>
      <c r="S34" s="177">
        <f t="shared" si="29"/>
        <v>14</v>
      </c>
      <c r="T34" s="177">
        <f t="shared" si="29"/>
        <v>14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1</v>
      </c>
      <c r="N40" s="62">
        <f t="shared" si="34"/>
        <v>1</v>
      </c>
      <c r="O40" s="62">
        <f t="shared" si="34"/>
        <v>1</v>
      </c>
      <c r="P40" s="62">
        <f t="shared" si="34"/>
        <v>1</v>
      </c>
      <c r="Q40" s="62">
        <f t="shared" si="34"/>
        <v>1</v>
      </c>
      <c r="R40" s="62">
        <f t="shared" si="34"/>
        <v>1</v>
      </c>
      <c r="S40" s="62">
        <f t="shared" si="34"/>
        <v>1</v>
      </c>
      <c r="T40" s="62">
        <f t="shared" si="34"/>
        <v>1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4</v>
      </c>
      <c r="O68" s="173">
        <f>IF($AA68=0,99,IF(O81&gt;3,CdTrp1!N76,CdTrp1!N52))</f>
        <v>4</v>
      </c>
      <c r="P68" s="173">
        <f>IF($AA68=0,99,IF(P81&gt;3,CdTrp1!O76,CdTrp1!O52))</f>
        <v>4</v>
      </c>
      <c r="Q68" s="173">
        <f>IF($AA68=0,99,IF(Q81&gt;3,CdTrp1!P76,CdTrp1!P52))</f>
        <v>4</v>
      </c>
      <c r="R68" s="173">
        <f>IF($AA68=0,99,IF(R81&gt;3,CdTrp1!Q76,CdTrp1!Q52))</f>
        <v>4</v>
      </c>
      <c r="S68" s="173">
        <f>IF($AA68=0,99,IF(S81&gt;3,CdTrp1!R76,CdTrp1!R52))</f>
        <v>4</v>
      </c>
      <c r="T68" s="173">
        <f>IF($AA68=0,99,IF(T81&gt;3,CdTrp1!S76,CdTrp1!S52))</f>
        <v>4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4</v>
      </c>
      <c r="O69" s="173">
        <f>IF($AA69=0,99,IF(O82&gt;3,CdTrp1!N77,CdTrp1!N53))</f>
        <v>4</v>
      </c>
      <c r="P69" s="173">
        <f>IF($AA69=0,99,IF(P82&gt;3,CdTrp1!O77,CdTrp1!O53))</f>
        <v>4</v>
      </c>
      <c r="Q69" s="173">
        <f>IF($AA69=0,99,IF(Q82&gt;3,CdTrp1!P77,CdTrp1!P53))</f>
        <v>4</v>
      </c>
      <c r="R69" s="173">
        <f>IF($AA69=0,99,IF(R82&gt;3,CdTrp1!Q77,CdTrp1!Q53))</f>
        <v>4</v>
      </c>
      <c r="S69" s="173">
        <f>IF($AA69=0,99,IF(S82&gt;3,CdTrp1!R77,CdTrp1!R53))</f>
        <v>4</v>
      </c>
      <c r="T69" s="173">
        <f>IF($AA69=0,99,IF(T82&gt;3,CdTrp1!S77,CdTrp1!S53))</f>
        <v>4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4</v>
      </c>
      <c r="O81" s="173">
        <f>CdTrp1!N76</f>
        <v>4</v>
      </c>
      <c r="P81" s="173">
        <f>CdTrp1!O76</f>
        <v>4</v>
      </c>
      <c r="Q81" s="173">
        <f>CdTrp1!P76</f>
        <v>4</v>
      </c>
      <c r="R81" s="173">
        <f>CdTrp1!Q76</f>
        <v>4</v>
      </c>
      <c r="S81" s="173">
        <f>CdTrp1!R76</f>
        <v>4</v>
      </c>
      <c r="T81" s="173">
        <f>CdTrp1!S76</f>
        <v>4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2</v>
      </c>
      <c r="H82" s="173">
        <f>CdTrp1!G77</f>
        <v>2</v>
      </c>
      <c r="I82" s="173">
        <f>CdTrp1!H77</f>
        <v>2</v>
      </c>
      <c r="J82" s="173">
        <f>CdTrp1!I77</f>
        <v>2</v>
      </c>
      <c r="K82" s="173">
        <f>CdTrp1!J77</f>
        <v>2</v>
      </c>
      <c r="L82" s="173">
        <f>CdTrp1!K77</f>
        <v>2</v>
      </c>
      <c r="M82" s="173">
        <f>CdTrp1!L77</f>
        <v>2</v>
      </c>
      <c r="N82" s="173">
        <f>CdTrp1!M77</f>
        <v>4</v>
      </c>
      <c r="O82" s="173">
        <f>CdTrp1!N77</f>
        <v>4</v>
      </c>
      <c r="P82" s="173">
        <f>CdTrp1!O77</f>
        <v>4</v>
      </c>
      <c r="Q82" s="173">
        <f>CdTrp1!P77</f>
        <v>4</v>
      </c>
      <c r="R82" s="173">
        <f>CdTrp1!Q77</f>
        <v>4</v>
      </c>
      <c r="S82" s="173">
        <f>CdTrp1!R77</f>
        <v>4</v>
      </c>
      <c r="T82" s="173">
        <f>CdTrp1!S77</f>
        <v>4</v>
      </c>
      <c r="U82" s="173">
        <f>CdTrp1!T77</f>
        <v>2</v>
      </c>
      <c r="V82" s="173">
        <f>CdTrp1!U77</f>
        <v>2</v>
      </c>
      <c r="W82" s="173">
        <f>CdTrp1!V77</f>
        <v>2</v>
      </c>
      <c r="X82" s="173">
        <f>CdTrp1!W77</f>
        <v>2</v>
      </c>
      <c r="Y82" s="173">
        <f>CdTrp1!X77</f>
        <v>2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1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4</v>
      </c>
      <c r="N110" s="173">
        <f>IF($AA110=0,99,IF(N123&gt;3,CdTrp2!M76,CdTrp2!M52))</f>
        <v>4</v>
      </c>
      <c r="O110" s="173">
        <f>IF($AA110=0,99,IF(O123&gt;3,CdTrp2!N76,CdTrp2!N52))</f>
        <v>4</v>
      </c>
      <c r="P110" s="173">
        <f>IF($AA110=0,99,IF(P123&gt;3,CdTrp2!O76,CdTrp2!O52))</f>
        <v>4</v>
      </c>
      <c r="Q110" s="173">
        <f>IF($AA110=0,99,IF(Q123&gt;3,CdTrp2!P76,CdTrp2!P52))</f>
        <v>4</v>
      </c>
      <c r="R110" s="173">
        <f>IF($AA110=0,99,IF(R123&gt;3,CdTrp2!Q76,CdTrp2!Q52))</f>
        <v>4</v>
      </c>
      <c r="S110" s="173">
        <f>IF($AA110=0,99,IF(S123&gt;3,CdTrp2!R76,CdTrp2!R52))</f>
        <v>4</v>
      </c>
      <c r="T110" s="173">
        <f>IF($AA110=0,99,IF(T123&gt;3,CdTrp2!S76,CdTrp2!S52))</f>
        <v>4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4</v>
      </c>
      <c r="N123" s="30">
        <f>CdTrp2!M76</f>
        <v>4</v>
      </c>
      <c r="O123" s="30">
        <f>CdTrp2!N76</f>
        <v>4</v>
      </c>
      <c r="P123" s="30">
        <f>CdTrp2!O76</f>
        <v>4</v>
      </c>
      <c r="Q123" s="30">
        <f>CdTrp2!P76</f>
        <v>4</v>
      </c>
      <c r="R123" s="30">
        <f>CdTrp2!Q76</f>
        <v>4</v>
      </c>
      <c r="S123" s="30">
        <f>CdTrp2!R76</f>
        <v>4</v>
      </c>
      <c r="T123" s="30">
        <f>CdTrp2!S76</f>
        <v>4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3</v>
      </c>
      <c r="D180" s="173">
        <f>IF(Troupeau!$B$3="OL",Protection!D18,0)</f>
        <v>3</v>
      </c>
      <c r="E180" s="173">
        <f>IF(Troupeau!$B$3="OL",Protection!E18,0)</f>
        <v>3</v>
      </c>
      <c r="F180" s="173">
        <f>IF(Troupeau!$B$3="OL",Protection!F18,0)</f>
        <v>3</v>
      </c>
      <c r="G180" s="173">
        <f>IF(Troupeau!$B$3="OL",Protection!G18,0)</f>
        <v>3</v>
      </c>
      <c r="H180" s="173">
        <f>IF(Troupeau!$B$3="OL",Protection!H18,0)</f>
        <v>3</v>
      </c>
      <c r="I180" s="173">
        <f>IF(Troupeau!$B$3="OL",Protection!I18,0)</f>
        <v>3</v>
      </c>
      <c r="J180" s="173">
        <f>IF(Troupeau!$B$3="OL",Protection!J18,0)</f>
        <v>3</v>
      </c>
      <c r="K180" s="173">
        <f>IF(Troupeau!$B$3="OL",Protection!K18,0)</f>
        <v>3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3</v>
      </c>
      <c r="W180" s="173">
        <f>IF(Troupeau!$B$3="OL",Protection!W18,0)</f>
        <v>3</v>
      </c>
      <c r="X180" s="173">
        <f>IF(Troupeau!$B$3="OL",Protection!X18,0)</f>
        <v>3</v>
      </c>
      <c r="Y180" s="173">
        <f>IF(Troupeau!$B$3="OL",Protection!Y18,0)</f>
        <v>3</v>
      </c>
      <c r="Z180" s="173">
        <f>IF(Troupeau!$B$3="OL",Protection!Z18,0)</f>
        <v>3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3</v>
      </c>
      <c r="D195" s="173">
        <f t="shared" ref="D195:Z196" si="50">D180+D183+D185+D187</f>
        <v>3</v>
      </c>
      <c r="E195" s="173">
        <f t="shared" si="50"/>
        <v>3</v>
      </c>
      <c r="F195" s="173">
        <f t="shared" si="50"/>
        <v>3</v>
      </c>
      <c r="G195" s="173">
        <f t="shared" si="50"/>
        <v>3</v>
      </c>
      <c r="H195" s="173">
        <f t="shared" si="50"/>
        <v>3</v>
      </c>
      <c r="I195" s="173">
        <f t="shared" si="50"/>
        <v>3</v>
      </c>
      <c r="J195" s="173">
        <f t="shared" si="50"/>
        <v>3</v>
      </c>
      <c r="K195" s="173">
        <f t="shared" si="50"/>
        <v>3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3</v>
      </c>
      <c r="W195" s="173">
        <f t="shared" si="50"/>
        <v>3</v>
      </c>
      <c r="X195" s="173">
        <f t="shared" si="50"/>
        <v>3</v>
      </c>
      <c r="Y195" s="173">
        <f t="shared" si="50"/>
        <v>3</v>
      </c>
      <c r="Z195" s="173">
        <f t="shared" si="50"/>
        <v>3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8</v>
      </c>
      <c r="H201" s="173">
        <f>IF(Troupeau!$B$3="OL",H8+H9,0)</f>
        <v>8</v>
      </c>
      <c r="I201" s="173">
        <f>IF(Troupeau!$B$3="OL",I8+I9,0)</f>
        <v>8</v>
      </c>
      <c r="J201" s="173">
        <f>IF(Troupeau!$B$3="OL",J8+J9,0)</f>
        <v>8</v>
      </c>
      <c r="K201" s="173">
        <f>IF(Troupeau!$B$3="OL",K8+K9,0)</f>
        <v>8</v>
      </c>
      <c r="L201" s="173">
        <f>IF(Troupeau!$B$3="OL",L8+L9,0)</f>
        <v>6</v>
      </c>
      <c r="M201" s="173">
        <f>IF(Troupeau!$B$3="OL",M8+M9,0)</f>
        <v>6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6</v>
      </c>
      <c r="V201" s="173">
        <f>IF(Troupeau!$B$3="OL",V8+V9,0)</f>
        <v>8</v>
      </c>
      <c r="W201" s="173">
        <f>IF(Troupeau!$B$3="OL",W8+W9,0)</f>
        <v>4</v>
      </c>
      <c r="X201" s="173">
        <f>IF(Troupeau!$B$3="OL",X8+X9,0)</f>
        <v>4</v>
      </c>
      <c r="Y201" s="173">
        <f>IF(Troupeau!$B$3="OL",Y8+Y9,0)</f>
        <v>4</v>
      </c>
      <c r="Z201" s="173">
        <f>IF(Troupeau!$B$3="OL",Z8+Z9,0)</f>
        <v>4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3</v>
      </c>
      <c r="O202" s="173">
        <f>IF(Troupeau!$B$3="OL",O10+O12,0)</f>
        <v>3</v>
      </c>
      <c r="P202" s="173">
        <f>IF(Troupeau!$B$3="OL",P10+P12,0)</f>
        <v>3</v>
      </c>
      <c r="Q202" s="173">
        <f>IF(Troupeau!$B$3="OL",Q10+Q12,0)</f>
        <v>3</v>
      </c>
      <c r="R202" s="173">
        <f>IF(Troupeau!$B$3="OL",R10+R12,0)</f>
        <v>3</v>
      </c>
      <c r="S202" s="173">
        <f>IF(Troupeau!$B$3="OL",S10+S12,0)</f>
        <v>3</v>
      </c>
      <c r="T202" s="173">
        <f>IF(Troupeau!$B$3="OL",T10+T12,0)</f>
        <v>3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8</v>
      </c>
      <c r="H203" s="173">
        <f t="shared" si="51"/>
        <v>8</v>
      </c>
      <c r="I203" s="173">
        <f t="shared" si="51"/>
        <v>8</v>
      </c>
      <c r="J203" s="173">
        <f t="shared" si="51"/>
        <v>8</v>
      </c>
      <c r="K203" s="173">
        <f t="shared" si="51"/>
        <v>8</v>
      </c>
      <c r="L203" s="173">
        <f t="shared" si="51"/>
        <v>6</v>
      </c>
      <c r="M203" s="173">
        <f t="shared" si="51"/>
        <v>6</v>
      </c>
      <c r="N203" s="173">
        <f t="shared" si="51"/>
        <v>5</v>
      </c>
      <c r="O203" s="173">
        <f t="shared" si="51"/>
        <v>5</v>
      </c>
      <c r="P203" s="173">
        <f t="shared" si="51"/>
        <v>5</v>
      </c>
      <c r="Q203" s="173">
        <f t="shared" si="51"/>
        <v>5</v>
      </c>
      <c r="R203" s="173">
        <f t="shared" si="51"/>
        <v>5</v>
      </c>
      <c r="S203" s="173">
        <f t="shared" si="51"/>
        <v>5</v>
      </c>
      <c r="T203" s="173">
        <f t="shared" si="51"/>
        <v>5</v>
      </c>
      <c r="U203" s="173">
        <f t="shared" si="51"/>
        <v>6</v>
      </c>
      <c r="V203" s="173">
        <f t="shared" si="51"/>
        <v>8</v>
      </c>
      <c r="W203" s="173">
        <f t="shared" si="51"/>
        <v>4</v>
      </c>
      <c r="X203" s="173">
        <f t="shared" si="51"/>
        <v>4</v>
      </c>
      <c r="Y203" s="173">
        <f t="shared" si="51"/>
        <v>4</v>
      </c>
      <c r="Z203" s="173">
        <f t="shared" si="51"/>
        <v>4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8</v>
      </c>
      <c r="H212" s="173">
        <f t="shared" si="52"/>
        <v>8</v>
      </c>
      <c r="I212" s="173">
        <f t="shared" si="52"/>
        <v>8</v>
      </c>
      <c r="J212" s="173">
        <f t="shared" si="52"/>
        <v>8</v>
      </c>
      <c r="K212" s="173">
        <f t="shared" si="52"/>
        <v>8</v>
      </c>
      <c r="L212" s="173">
        <f t="shared" si="52"/>
        <v>6</v>
      </c>
      <c r="M212" s="173">
        <f t="shared" si="52"/>
        <v>6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6</v>
      </c>
      <c r="V212" s="173">
        <f t="shared" si="52"/>
        <v>8</v>
      </c>
      <c r="W212" s="173">
        <f t="shared" si="52"/>
        <v>4</v>
      </c>
      <c r="X212" s="173">
        <f t="shared" si="52"/>
        <v>4</v>
      </c>
      <c r="Y212" s="173">
        <f t="shared" si="52"/>
        <v>4</v>
      </c>
      <c r="Z212" s="173">
        <f t="shared" si="52"/>
        <v>4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3</v>
      </c>
      <c r="O213" s="173">
        <f t="shared" si="52"/>
        <v>3</v>
      </c>
      <c r="P213" s="173">
        <f t="shared" si="52"/>
        <v>3</v>
      </c>
      <c r="Q213" s="173">
        <f t="shared" si="52"/>
        <v>3</v>
      </c>
      <c r="R213" s="173">
        <f t="shared" si="52"/>
        <v>3</v>
      </c>
      <c r="S213" s="173">
        <f t="shared" si="52"/>
        <v>3</v>
      </c>
      <c r="T213" s="173">
        <f t="shared" si="52"/>
        <v>3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8</v>
      </c>
      <c r="H214" s="173">
        <f t="shared" si="53"/>
        <v>8</v>
      </c>
      <c r="I214" s="173">
        <f t="shared" si="53"/>
        <v>8</v>
      </c>
      <c r="J214" s="173">
        <f t="shared" si="53"/>
        <v>8</v>
      </c>
      <c r="K214" s="173">
        <f t="shared" si="53"/>
        <v>8</v>
      </c>
      <c r="L214" s="173">
        <f t="shared" si="53"/>
        <v>6</v>
      </c>
      <c r="M214" s="173">
        <f t="shared" si="53"/>
        <v>6</v>
      </c>
      <c r="N214" s="173">
        <f t="shared" si="53"/>
        <v>5</v>
      </c>
      <c r="O214" s="173">
        <f t="shared" si="53"/>
        <v>5</v>
      </c>
      <c r="P214" s="173">
        <f t="shared" si="53"/>
        <v>5</v>
      </c>
      <c r="Q214" s="173">
        <f t="shared" si="53"/>
        <v>5</v>
      </c>
      <c r="R214" s="173">
        <f t="shared" si="53"/>
        <v>5</v>
      </c>
      <c r="S214" s="173">
        <f t="shared" si="53"/>
        <v>5</v>
      </c>
      <c r="T214" s="173">
        <f t="shared" si="53"/>
        <v>5</v>
      </c>
      <c r="U214" s="173">
        <f t="shared" si="53"/>
        <v>6</v>
      </c>
      <c r="V214" s="173">
        <f t="shared" si="53"/>
        <v>8</v>
      </c>
      <c r="W214" s="173">
        <f t="shared" si="53"/>
        <v>4</v>
      </c>
      <c r="X214" s="173">
        <f t="shared" si="53"/>
        <v>4</v>
      </c>
      <c r="Y214" s="173">
        <f t="shared" si="53"/>
        <v>4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12" activePane="bottomLeft" state="frozen"/>
      <selection activeCell="J83" sqref="J83"/>
      <selection pane="bottomLeft" activeCell="D16" sqref="D1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530.25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40.25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161.69999999999999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19.25</v>
      </c>
      <c r="Z6" s="173">
        <f t="shared" si="2"/>
        <v>17.5</v>
      </c>
      <c r="AA6" s="173">
        <f t="shared" si="2"/>
        <v>24.5</v>
      </c>
      <c r="AB6" s="173">
        <f t="shared" si="2"/>
        <v>24.5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895.08710869565266</v>
      </c>
      <c r="G9" s="30">
        <f>AV102</f>
        <v>53.940173913043481</v>
      </c>
      <c r="H9" s="30">
        <f t="shared" ref="H9:AD9" si="4">AW102</f>
        <v>53.831521739130437</v>
      </c>
      <c r="I9" s="30">
        <f t="shared" si="4"/>
        <v>53.722869565217394</v>
      </c>
      <c r="J9" s="30">
        <f t="shared" si="4"/>
        <v>53.668543478260872</v>
      </c>
      <c r="K9" s="30">
        <f t="shared" si="4"/>
        <v>53.614217391304351</v>
      </c>
      <c r="L9" s="30">
        <f t="shared" si="4"/>
        <v>32.559891304347829</v>
      </c>
      <c r="M9" s="30">
        <f t="shared" si="4"/>
        <v>32.505565217391307</v>
      </c>
      <c r="N9" s="30">
        <f t="shared" si="4"/>
        <v>32.451239130434786</v>
      </c>
      <c r="O9" s="30">
        <f t="shared" si="4"/>
        <v>32.342586956521743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22.074956521739132</v>
      </c>
      <c r="S9" s="30">
        <f t="shared" si="4"/>
        <v>22.074956521739132</v>
      </c>
      <c r="T9" s="30">
        <f t="shared" si="4"/>
        <v>22.074956521739132</v>
      </c>
      <c r="U9" s="30">
        <f t="shared" si="4"/>
        <v>22.074956521739132</v>
      </c>
      <c r="V9" s="30">
        <f t="shared" si="4"/>
        <v>22.074956521739132</v>
      </c>
      <c r="W9" s="30">
        <f t="shared" si="4"/>
        <v>22.074956521739132</v>
      </c>
      <c r="X9" s="30">
        <f t="shared" si="4"/>
        <v>22.074956521739132</v>
      </c>
      <c r="Y9" s="30">
        <f t="shared" si="4"/>
        <v>32.559891304347829</v>
      </c>
      <c r="Z9" s="30">
        <f t="shared" si="4"/>
        <v>30.712804347826086</v>
      </c>
      <c r="AA9" s="30">
        <f t="shared" si="4"/>
        <v>51.712804347826086</v>
      </c>
      <c r="AB9" s="30">
        <f t="shared" si="4"/>
        <v>53.940173913043481</v>
      </c>
      <c r="AC9" s="30">
        <f t="shared" si="4"/>
        <v>53.940173913043481</v>
      </c>
      <c r="AD9" s="30">
        <f t="shared" si="4"/>
        <v>53.940173913043481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2198.8371086956513</v>
      </c>
      <c r="G13" s="30">
        <f>SUM(G5:G11)</f>
        <v>109.94017391304348</v>
      </c>
      <c r="H13" s="30">
        <f t="shared" ref="H13:AD13" si="8">SUM(H5:H11)</f>
        <v>109.83152173913044</v>
      </c>
      <c r="I13" s="30">
        <f t="shared" si="8"/>
        <v>114.97286956521739</v>
      </c>
      <c r="J13" s="30">
        <f t="shared" si="8"/>
        <v>128.91854347826086</v>
      </c>
      <c r="K13" s="30">
        <f t="shared" si="8"/>
        <v>128.86421739130435</v>
      </c>
      <c r="L13" s="30">
        <f t="shared" si="8"/>
        <v>127.05989130434783</v>
      </c>
      <c r="M13" s="30">
        <f t="shared" si="8"/>
        <v>114.75556521739131</v>
      </c>
      <c r="N13" s="30">
        <f t="shared" si="8"/>
        <v>118.20123913043479</v>
      </c>
      <c r="O13" s="30">
        <f t="shared" si="8"/>
        <v>116.34258695652174</v>
      </c>
      <c r="P13" s="30">
        <f t="shared" si="8"/>
        <v>104.30989130434783</v>
      </c>
      <c r="Q13" s="30">
        <f t="shared" si="8"/>
        <v>69.309891304347829</v>
      </c>
      <c r="R13" s="30">
        <f t="shared" si="8"/>
        <v>44.824956521739132</v>
      </c>
      <c r="S13" s="30">
        <f t="shared" si="8"/>
        <v>44.824956521739132</v>
      </c>
      <c r="T13" s="30">
        <f t="shared" si="8"/>
        <v>44.824956521739132</v>
      </c>
      <c r="U13" s="30">
        <f t="shared" si="8"/>
        <v>44.824956521739132</v>
      </c>
      <c r="V13" s="30">
        <f t="shared" si="8"/>
        <v>44.824956521739132</v>
      </c>
      <c r="W13" s="30">
        <f t="shared" si="8"/>
        <v>44.824956521739132</v>
      </c>
      <c r="X13" s="30">
        <f t="shared" si="8"/>
        <v>44.824956521739132</v>
      </c>
      <c r="Y13" s="30">
        <f t="shared" si="8"/>
        <v>100.80989130434783</v>
      </c>
      <c r="Z13" s="30">
        <f t="shared" si="8"/>
        <v>97.212804347826079</v>
      </c>
      <c r="AA13" s="30">
        <f t="shared" si="8"/>
        <v>111.21280434782608</v>
      </c>
      <c r="AB13" s="30">
        <f t="shared" si="8"/>
        <v>113.44017391304348</v>
      </c>
      <c r="AC13" s="30">
        <f t="shared" si="8"/>
        <v>109.94017391304348</v>
      </c>
      <c r="AD13" s="30">
        <f t="shared" si="8"/>
        <v>109.94017391304348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1</v>
      </c>
      <c r="D16" s="190">
        <f>IF(B16&gt;0,VLOOKUP(C16,[1]Trav!$A$86:$D$90,4),0)</f>
        <v>12</v>
      </c>
      <c r="E16" s="190">
        <f>Scénario!K54*2</f>
        <v>0</v>
      </c>
      <c r="F16" s="173">
        <f>IF(B16&gt;0,D16*E16/B16,0)</f>
        <v>0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7</v>
      </c>
      <c r="F20" s="173">
        <f>D20*E20</f>
        <v>84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8</v>
      </c>
      <c r="F21" s="173">
        <f t="shared" ref="F21:F22" si="16">D21*E21</f>
        <v>96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2</v>
      </c>
      <c r="BF49" s="173">
        <f>IF(CdTrp1!L77=1,1,IF(CdTrp1!L77=2,2,IF(CdTrp1!L77=3,2,0)))</f>
        <v>2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2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1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30</v>
      </c>
      <c r="C55" s="190">
        <f>IF(B55&gt;[1]Trav!E121,[1]Trav!C121,[1]Trav!B121)</f>
        <v>7.2</v>
      </c>
      <c r="D55"/>
      <c r="E55" s="172"/>
      <c r="F55" s="173">
        <f t="shared" si="32"/>
        <v>216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14</v>
      </c>
      <c r="C56" s="190">
        <f>IF(B56&gt;[1]Trav!E121,[1]Trav!C121,[1]Trav!B121)</f>
        <v>7.2</v>
      </c>
      <c r="D56"/>
      <c r="E56" s="172"/>
      <c r="F56" s="173">
        <f t="shared" si="32"/>
        <v>101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112</v>
      </c>
      <c r="AW61" s="173">
        <f>IF(AW16=0,0,IF(AW38=3,0,VALUE(CONCATENATE(Travail!AW27,Travail!AW38,Travail!AW49))))</f>
        <v>112</v>
      </c>
      <c r="AX61" s="173">
        <f>IF(AX16=0,0,IF(AX38=3,0,VALUE(CONCATENATE(Travail!AX27,Travail!AX38,Travail!AX49))))</f>
        <v>112</v>
      </c>
      <c r="AY61" s="173">
        <f>IF(AY16=0,0,IF(AY38=3,0,VALUE(CONCATENATE(Travail!AY27,Travail!AY38,Travail!AY49))))</f>
        <v>112</v>
      </c>
      <c r="AZ61" s="173">
        <f>IF(AZ16=0,0,IF(AZ38=3,0,VALUE(CONCATENATE(Travail!AZ27,Travail!AZ38,Travail!AZ49))))</f>
        <v>112</v>
      </c>
      <c r="BA61" s="173">
        <f>IF(BA16=0,0,IF(BA38=3,0,VALUE(CONCATENATE(Travail!BA27,Travail!BA38,Travail!BA49))))</f>
        <v>112</v>
      </c>
      <c r="BB61" s="173">
        <f>IF(BB16=0,0,IF(BB38=3,0,VALUE(CONCATENATE(Travail!BB27,Travail!BB38,Travail!BB49))))</f>
        <v>112</v>
      </c>
      <c r="BC61" s="173">
        <f>IF(BC16=0,0,IF(BC38=3,0,VALUE(CONCATENATE(Travail!BC27,Travail!BC38,Travail!BC49))))</f>
        <v>112</v>
      </c>
      <c r="BD61" s="173">
        <f>IF(BD16=0,0,IF(BD38=3,0,VALUE(CONCATENATE(Travail!BD27,Travail!BD38,Travail!BD49))))</f>
        <v>112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112</v>
      </c>
      <c r="BP61" s="173">
        <f>IF(BP16=0,0,IF(BP38=3,0,VALUE(CONCATENATE(Travail!BP27,Travail!BP38,Travail!BP49))))</f>
        <v>112</v>
      </c>
      <c r="BQ61" s="173">
        <f>IF(BQ16=0,0,IF(BQ38=3,0,VALUE(CONCATENATE(Travail!BQ27,Travail!BQ38,Travail!BQ49))))</f>
        <v>112</v>
      </c>
      <c r="BR61" s="173">
        <f>IF(BR16=0,0,IF(BR38=3,0,VALUE(CONCATENATE(Travail!BR27,Travail!BR38,Travail!BR49))))</f>
        <v>112</v>
      </c>
      <c r="BS61" s="173">
        <f>IF(BS16=0,0,IF(BS38=3,0,VALUE(CONCATENATE(Travail!BS27,Travail!BS38,Travail!BS49))))</f>
        <v>112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112</v>
      </c>
      <c r="AW63" s="173">
        <f>IF(AW18=0,0,IF(AW40=3,0,VALUE(CONCATENATE(Travail!AW29,Travail!AW40,Travail!AW51))))</f>
        <v>112</v>
      </c>
      <c r="AX63" s="173">
        <f>IF(AX18=0,0,IF(AX40=3,0,VALUE(CONCATENATE(Travail!AX29,Travail!AX40,Travail!AX51))))</f>
        <v>112</v>
      </c>
      <c r="AY63" s="173">
        <f>IF(AY18=0,0,IF(AY40=3,0,VALUE(CONCATENATE(Travail!AY29,Travail!AY40,Travail!AY51))))</f>
        <v>112</v>
      </c>
      <c r="AZ63" s="173">
        <f>IF(AZ18=0,0,IF(AZ40=3,0,VALUE(CONCATENATE(Travail!AZ29,Travail!AZ40,Travail!AZ51))))</f>
        <v>112</v>
      </c>
      <c r="BA63" s="173">
        <f>IF(BA18=0,0,IF(BA40=3,0,VALUE(CONCATENATE(Travail!BA29,Travail!BA40,Travail!BA51))))</f>
        <v>112</v>
      </c>
      <c r="BB63" s="173">
        <f>IF(BB18=0,0,IF(BB40=3,0,VALUE(CONCATENATE(Travail!BB29,Travail!BB40,Travail!BB51))))</f>
        <v>112</v>
      </c>
      <c r="BC63" s="173">
        <f>IF(BC18=0,0,IF(BC40=3,0,VALUE(CONCATENATE(Travail!BC29,Travail!BC40,Travail!BC51))))</f>
        <v>112</v>
      </c>
      <c r="BD63" s="173">
        <f>IF(BD18=0,0,IF(BD40=3,0,VALUE(CONCATENATE(Travail!BD29,Travail!BD40,Travail!BD51))))</f>
        <v>111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112</v>
      </c>
      <c r="BP63" s="173">
        <f>IF(BP18=0,0,IF(BP40=3,0,VALUE(CONCATENATE(Travail!BP29,Travail!BP40,Travail!BP51))))</f>
        <v>112</v>
      </c>
      <c r="BQ63" s="173">
        <f>IF(BQ18=0,0,IF(BQ40=3,0,VALUE(CONCATENATE(Travail!BQ29,Travail!BQ40,Travail!BQ51))))</f>
        <v>112</v>
      </c>
      <c r="BR63" s="173">
        <f>IF(BR18=0,0,IF(BR40=3,0,VALUE(CONCATENATE(Travail!BR29,Travail!BR40,Travail!BR51))))</f>
        <v>112</v>
      </c>
      <c r="BS63" s="173">
        <f>IF(BS18=0,0,IF(BS40=3,0,VALUE(CONCATENATE(Travail!BS29,Travail!BS40,Travail!BS51))))</f>
        <v>112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11</v>
      </c>
      <c r="AW72" s="173">
        <f t="shared" si="36"/>
        <v>11</v>
      </c>
      <c r="AX72" s="173">
        <f t="shared" si="36"/>
        <v>11</v>
      </c>
      <c r="AY72" s="173">
        <f t="shared" si="36"/>
        <v>11</v>
      </c>
      <c r="AZ72" s="173">
        <f t="shared" si="36"/>
        <v>11</v>
      </c>
      <c r="BA72" s="173">
        <f t="shared" si="36"/>
        <v>11</v>
      </c>
      <c r="BB72" s="173">
        <f t="shared" si="36"/>
        <v>11</v>
      </c>
      <c r="BC72" s="173">
        <f t="shared" si="36"/>
        <v>11</v>
      </c>
      <c r="BD72" s="173">
        <f t="shared" si="36"/>
        <v>11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11</v>
      </c>
      <c r="BP72" s="173">
        <f t="shared" si="36"/>
        <v>11</v>
      </c>
      <c r="BQ72" s="173">
        <f t="shared" si="36"/>
        <v>11</v>
      </c>
      <c r="BR72" s="173">
        <f t="shared" si="36"/>
        <v>11</v>
      </c>
      <c r="BS72" s="173">
        <f t="shared" si="36"/>
        <v>11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11</v>
      </c>
      <c r="AW74" s="173">
        <f t="shared" si="36"/>
        <v>11</v>
      </c>
      <c r="AX74" s="173">
        <f t="shared" si="36"/>
        <v>11</v>
      </c>
      <c r="AY74" s="173">
        <f t="shared" si="36"/>
        <v>11</v>
      </c>
      <c r="AZ74" s="173">
        <f t="shared" si="36"/>
        <v>11</v>
      </c>
      <c r="BA74" s="173">
        <f t="shared" si="36"/>
        <v>11</v>
      </c>
      <c r="BB74" s="173">
        <f t="shared" si="36"/>
        <v>11</v>
      </c>
      <c r="BC74" s="173">
        <f t="shared" si="36"/>
        <v>11</v>
      </c>
      <c r="BD74" s="173">
        <f t="shared" si="36"/>
        <v>11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11</v>
      </c>
      <c r="BP74" s="173">
        <f t="shared" si="36"/>
        <v>11</v>
      </c>
      <c r="BQ74" s="173">
        <f t="shared" si="36"/>
        <v>11</v>
      </c>
      <c r="BR74" s="173">
        <f t="shared" si="36"/>
        <v>11</v>
      </c>
      <c r="BS74" s="173">
        <f t="shared" si="36"/>
        <v>11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0</v>
      </c>
      <c r="G75" s="198">
        <f>IF(Protection!C195=0,0,[1]Protect!$B$9*Protection!C195*14)</f>
        <v>10.5</v>
      </c>
      <c r="H75" s="198">
        <f>IF(Protection!D195=0,0,[1]Protect!$B$9*Protection!D195*14)</f>
        <v>10.5</v>
      </c>
      <c r="I75" s="198">
        <f>IF(Protection!E195=0,0,[1]Protect!$B$9*Protection!E195*14)</f>
        <v>10.5</v>
      </c>
      <c r="J75" s="198">
        <f>IF(Protection!F195=0,0,[1]Protect!$B$9*Protection!F195*14)</f>
        <v>10.5</v>
      </c>
      <c r="K75" s="198">
        <f>IF(Protection!G195=0,0,[1]Protect!$B$9*Protection!G195*14)</f>
        <v>10.5</v>
      </c>
      <c r="L75" s="198">
        <f>IF(Protection!H195=0,0,[1]Protect!$B$9*Protection!H195*14)</f>
        <v>10.5</v>
      </c>
      <c r="M75" s="198">
        <f>IF(Protection!I195=0,0,[1]Protect!$B$9*Protection!I195*14)</f>
        <v>10.5</v>
      </c>
      <c r="N75" s="198">
        <f>IF(Protection!J195=0,0,[1]Protect!$B$9*Protection!J195*14)</f>
        <v>10.5</v>
      </c>
      <c r="O75" s="198">
        <f>IF(Protection!K195=0,0,[1]Protect!$B$9*Protection!K195*14)</f>
        <v>10.5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10.5</v>
      </c>
      <c r="AA75" s="198">
        <f>IF(Protection!W195=0,0,[1]Protect!$B$9*Protection!W195*14)</f>
        <v>10.5</v>
      </c>
      <c r="AB75" s="198">
        <f>IF(Protection!X195=0,0,[1]Protect!$B$9*Protection!X195*14)</f>
        <v>10.5</v>
      </c>
      <c r="AC75" s="198">
        <f>IF(Protection!Y195=0,0,[1]Protect!$B$9*Protection!Y195*14)</f>
        <v>10.5</v>
      </c>
      <c r="AD75" s="198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3.5</v>
      </c>
      <c r="Z77" s="46">
        <f t="shared" si="43"/>
        <v>10.5</v>
      </c>
      <c r="AA77" s="46">
        <f t="shared" si="43"/>
        <v>10.5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</v>
      </c>
      <c r="C81" s="190">
        <f>[1]Protect!$B$10</f>
        <v>4</v>
      </c>
      <c r="D81" s="172"/>
      <c r="E81" s="172"/>
      <c r="F81" s="173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3.5</v>
      </c>
      <c r="C87" s="5"/>
      <c r="F87" s="173">
        <f>B87*[1]Eco!$B$108*[1]Eco!$B$109</f>
        <v>840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1425.3371086956527</v>
      </c>
      <c r="C91" s="5"/>
      <c r="D91" s="202">
        <f>B91/Troupeau!$B$17</f>
        <v>3.992540920716114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665.7</v>
      </c>
      <c r="C92" s="5"/>
      <c r="D92" s="202">
        <f>IF(B92=0,0,B92/Troupeau!$C$17)</f>
        <v>31.700000000000003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2091.0371086956529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84</v>
      </c>
      <c r="C95" s="5"/>
      <c r="D95" s="202">
        <f>B95/Troupeau!$B$17</f>
        <v>0.23529411764705882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2">
        <f>IF(B96=0,0,B96/Troupeau!$C$17)</f>
        <v>4.5714285714285712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180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391.14782608695651</v>
      </c>
      <c r="AW99" s="62">
        <f t="shared" ref="AW99:BS99" si="68">SUM(AW90:AW98)</f>
        <v>388.04347826086956</v>
      </c>
      <c r="AX99" s="62">
        <f t="shared" si="68"/>
        <v>384.93913043478261</v>
      </c>
      <c r="AY99" s="62">
        <f t="shared" si="68"/>
        <v>383.38695652173914</v>
      </c>
      <c r="AZ99" s="62">
        <f t="shared" si="68"/>
        <v>381.83478260869566</v>
      </c>
      <c r="BA99" s="62">
        <f t="shared" si="68"/>
        <v>380.28260869565219</v>
      </c>
      <c r="BB99" s="62">
        <f t="shared" si="68"/>
        <v>378.73043478260871</v>
      </c>
      <c r="BC99" s="62">
        <f t="shared" si="68"/>
        <v>377.17826086956524</v>
      </c>
      <c r="BD99" s="62">
        <f t="shared" si="68"/>
        <v>374.07391304347829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80.713043478260872</v>
      </c>
      <c r="BH99" s="62">
        <f t="shared" si="68"/>
        <v>80.713043478260872</v>
      </c>
      <c r="BI99" s="62">
        <f t="shared" si="68"/>
        <v>80.713043478260872</v>
      </c>
      <c r="BJ99" s="62">
        <f t="shared" si="68"/>
        <v>80.713043478260872</v>
      </c>
      <c r="BK99" s="62">
        <f t="shared" si="68"/>
        <v>80.713043478260872</v>
      </c>
      <c r="BL99" s="62">
        <f t="shared" si="68"/>
        <v>80.713043478260872</v>
      </c>
      <c r="BM99" s="62">
        <f t="shared" si="68"/>
        <v>80.713043478260872</v>
      </c>
      <c r="BN99" s="62">
        <f t="shared" si="68"/>
        <v>380.28260869565219</v>
      </c>
      <c r="BO99" s="62">
        <f t="shared" si="68"/>
        <v>327.50869565217391</v>
      </c>
      <c r="BP99" s="62">
        <f t="shared" si="68"/>
        <v>327.50869565217391</v>
      </c>
      <c r="BQ99" s="62">
        <f t="shared" si="68"/>
        <v>391.14782608695651</v>
      </c>
      <c r="BR99" s="62">
        <f t="shared" si="68"/>
        <v>391.14782608695651</v>
      </c>
      <c r="BS99" s="62">
        <f t="shared" si="68"/>
        <v>391.14782608695651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7.8229565217391306</v>
      </c>
      <c r="AW100" s="173">
        <f t="shared" ref="AW100:BS100" si="71">IF($AT$2="OL",AW99/50,AW99/10)</f>
        <v>7.7608695652173916</v>
      </c>
      <c r="AX100" s="173">
        <f t="shared" si="71"/>
        <v>7.6987826086956526</v>
      </c>
      <c r="AY100" s="173">
        <f t="shared" si="71"/>
        <v>7.6677391304347831</v>
      </c>
      <c r="AZ100" s="173">
        <f t="shared" si="71"/>
        <v>7.6366956521739136</v>
      </c>
      <c r="BA100" s="173">
        <f t="shared" si="71"/>
        <v>7.605652173913044</v>
      </c>
      <c r="BB100" s="173">
        <f t="shared" si="71"/>
        <v>7.5746086956521745</v>
      </c>
      <c r="BC100" s="173">
        <f t="shared" si="71"/>
        <v>7.543565217391305</v>
      </c>
      <c r="BD100" s="173">
        <f t="shared" si="71"/>
        <v>7.481478260869566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1.6142608695652174</v>
      </c>
      <c r="BH100" s="173">
        <f t="shared" si="71"/>
        <v>1.6142608695652174</v>
      </c>
      <c r="BI100" s="173">
        <f t="shared" si="71"/>
        <v>1.6142608695652174</v>
      </c>
      <c r="BJ100" s="173">
        <f t="shared" si="71"/>
        <v>1.6142608695652174</v>
      </c>
      <c r="BK100" s="173">
        <f t="shared" si="71"/>
        <v>1.6142608695652174</v>
      </c>
      <c r="BL100" s="173">
        <f t="shared" si="71"/>
        <v>1.6142608695652174</v>
      </c>
      <c r="BM100" s="173">
        <f t="shared" si="71"/>
        <v>1.6142608695652174</v>
      </c>
      <c r="BN100" s="173">
        <f t="shared" si="71"/>
        <v>7.605652173913044</v>
      </c>
      <c r="BO100" s="173">
        <f t="shared" si="71"/>
        <v>6.5501739130434782</v>
      </c>
      <c r="BP100" s="173">
        <f t="shared" si="71"/>
        <v>6.5501739130434782</v>
      </c>
      <c r="BQ100" s="173">
        <f t="shared" si="71"/>
        <v>7.8229565217391306</v>
      </c>
      <c r="BR100" s="173">
        <f t="shared" si="71"/>
        <v>7.8229565217391306</v>
      </c>
      <c r="BS100" s="173">
        <f t="shared" si="71"/>
        <v>7.8229565217391306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6.8229565217391306</v>
      </c>
      <c r="AW101" s="173">
        <f t="shared" ref="AW101:BS101" si="74">IF(AW100&gt;1,AW100-1,0)</f>
        <v>6.7608695652173916</v>
      </c>
      <c r="AX101" s="173">
        <f t="shared" si="74"/>
        <v>6.6987826086956526</v>
      </c>
      <c r="AY101" s="173">
        <f t="shared" si="74"/>
        <v>6.6677391304347831</v>
      </c>
      <c r="AZ101" s="173">
        <f t="shared" si="74"/>
        <v>6.6366956521739136</v>
      </c>
      <c r="BA101" s="173">
        <f t="shared" si="74"/>
        <v>6.605652173913044</v>
      </c>
      <c r="BB101" s="173">
        <f t="shared" si="74"/>
        <v>6.5746086956521745</v>
      </c>
      <c r="BC101" s="173">
        <f t="shared" si="74"/>
        <v>6.543565217391305</v>
      </c>
      <c r="BD101" s="173">
        <f t="shared" si="74"/>
        <v>6.481478260869566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0.61426086956521742</v>
      </c>
      <c r="BH101" s="173">
        <f t="shared" si="74"/>
        <v>0.61426086956521742</v>
      </c>
      <c r="BI101" s="173">
        <f t="shared" si="74"/>
        <v>0.61426086956521742</v>
      </c>
      <c r="BJ101" s="173">
        <f t="shared" si="74"/>
        <v>0.61426086956521742</v>
      </c>
      <c r="BK101" s="173">
        <f t="shared" si="74"/>
        <v>0.61426086956521742</v>
      </c>
      <c r="BL101" s="173">
        <f t="shared" si="74"/>
        <v>0.61426086956521742</v>
      </c>
      <c r="BM101" s="173">
        <f t="shared" si="74"/>
        <v>0.61426086956521742</v>
      </c>
      <c r="BN101" s="173">
        <f t="shared" si="74"/>
        <v>6.605652173913044</v>
      </c>
      <c r="BO101" s="173">
        <f t="shared" si="74"/>
        <v>5.5501739130434782</v>
      </c>
      <c r="BP101" s="173">
        <f t="shared" si="74"/>
        <v>5.5501739130434782</v>
      </c>
      <c r="BQ101" s="173">
        <f t="shared" si="74"/>
        <v>6.8229565217391306</v>
      </c>
      <c r="BR101" s="173">
        <f t="shared" si="74"/>
        <v>6.8229565217391306</v>
      </c>
      <c r="BS101" s="173">
        <f t="shared" si="74"/>
        <v>6.8229565217391306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53.940173913043481</v>
      </c>
      <c r="AW102" s="62">
        <f t="shared" ref="AW102:BS102" si="77">AW86+AW87*AW101</f>
        <v>53.831521739130437</v>
      </c>
      <c r="AX102" s="62">
        <f t="shared" si="77"/>
        <v>53.722869565217394</v>
      </c>
      <c r="AY102" s="62">
        <f t="shared" si="77"/>
        <v>53.668543478260872</v>
      </c>
      <c r="AZ102" s="62">
        <f t="shared" si="77"/>
        <v>53.614217391304351</v>
      </c>
      <c r="BA102" s="62">
        <f t="shared" si="77"/>
        <v>32.559891304347829</v>
      </c>
      <c r="BB102" s="62">
        <f t="shared" si="77"/>
        <v>32.505565217391307</v>
      </c>
      <c r="BC102" s="62">
        <f t="shared" si="77"/>
        <v>32.451239130434786</v>
      </c>
      <c r="BD102" s="62">
        <f t="shared" si="77"/>
        <v>32.342586956521743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22.074956521739132</v>
      </c>
      <c r="BH102" s="62">
        <f t="shared" si="77"/>
        <v>22.074956521739132</v>
      </c>
      <c r="BI102" s="62">
        <f t="shared" si="77"/>
        <v>22.074956521739132</v>
      </c>
      <c r="BJ102" s="62">
        <f t="shared" si="77"/>
        <v>22.074956521739132</v>
      </c>
      <c r="BK102" s="62">
        <f t="shared" si="77"/>
        <v>22.074956521739132</v>
      </c>
      <c r="BL102" s="62">
        <f t="shared" si="77"/>
        <v>22.074956521739132</v>
      </c>
      <c r="BM102" s="62">
        <f t="shared" si="77"/>
        <v>22.074956521739132</v>
      </c>
      <c r="BN102" s="62">
        <f t="shared" si="77"/>
        <v>32.559891304347829</v>
      </c>
      <c r="BO102" s="62">
        <f t="shared" si="77"/>
        <v>30.712804347826086</v>
      </c>
      <c r="BP102" s="62">
        <f t="shared" si="77"/>
        <v>51.712804347826086</v>
      </c>
      <c r="BQ102" s="62">
        <f t="shared" si="77"/>
        <v>53.940173913043481</v>
      </c>
      <c r="BR102" s="62">
        <f t="shared" si="77"/>
        <v>53.940173913043481</v>
      </c>
      <c r="BS102" s="62">
        <f t="shared" si="77"/>
        <v>53.940173913043481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7</v>
      </c>
      <c r="AW107" s="190">
        <f>IF(AW61&gt;0,HLOOKUP(AW61,[1]Trav!$C$11:$O$31,$AU$105),0)</f>
        <v>7</v>
      </c>
      <c r="AX107" s="190">
        <f>IF(AX61&gt;0,HLOOKUP(AX61,[1]Trav!$C$11:$O$31,$AU$105),0)</f>
        <v>7</v>
      </c>
      <c r="AY107" s="190">
        <f>IF(AY61&gt;0,HLOOKUP(AY61,[1]Trav!$C$11:$O$31,$AU$105),0)</f>
        <v>7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7</v>
      </c>
      <c r="BP107" s="190">
        <f>IF(BP61&gt;0,HLOOKUP(BP61,[1]Trav!$C$11:$O$31,$AU$105),0)</f>
        <v>7</v>
      </c>
      <c r="BQ107" s="190">
        <f>IF(BQ61&gt;0,HLOOKUP(BQ61,[1]Trav!$C$11:$O$31,$AU$105),0)</f>
        <v>7</v>
      </c>
      <c r="BR107" s="190">
        <f>IF(BR61&gt;0,HLOOKUP(BR61,[1]Trav!$C$11:$O$31,$AU$105),0)</f>
        <v>7</v>
      </c>
      <c r="BS107" s="190">
        <f>IF(BS61&gt;0,HLOOKUP(BS61,[1]Trav!$C$11:$O$31,$AU$105),0)</f>
        <v>7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414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7</v>
      </c>
      <c r="AW109" s="190">
        <f>IF(AW63&gt;0,HLOOKUP(AW63,[1]Trav!$C$11:$O$31,$AU$105),0)</f>
        <v>7</v>
      </c>
      <c r="AX109" s="190">
        <f>IF(AX63&gt;0,HLOOKUP(AX63,[1]Trav!$C$11:$O$31,$AU$105),0)</f>
        <v>7</v>
      </c>
      <c r="AY109" s="190">
        <f>IF(AY63&gt;0,HLOOKUP(AY63,[1]Trav!$C$11:$O$31,$AU$105),0)</f>
        <v>7</v>
      </c>
      <c r="AZ109" s="190">
        <f>IF(AZ63&gt;0,HLOOKUP(AZ63,[1]Trav!$C$11:$O$31,$AU$105),0)</f>
        <v>7</v>
      </c>
      <c r="BA109" s="190">
        <f>IF(BA63&gt;0,HLOOKUP(BA63,[1]Trav!$C$11:$O$31,$AU$105),0)</f>
        <v>7</v>
      </c>
      <c r="BB109" s="190">
        <f>IF(BB63&gt;0,HLOOKUP(BB63,[1]Trav!$C$11:$O$31,$AU$105),0)</f>
        <v>7</v>
      </c>
      <c r="BC109" s="190">
        <f>IF(BC63&gt;0,HLOOKUP(BC63,[1]Trav!$C$11:$O$31,$AU$105),0)</f>
        <v>7</v>
      </c>
      <c r="BD109" s="190">
        <f>IF(BD63&gt;0,HLOOKUP(BD63,[1]Trav!$C$11:$O$31,$AU$105),0)</f>
        <v>5.25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7</v>
      </c>
      <c r="BP109" s="190">
        <f>IF(BP63&gt;0,HLOOKUP(BP63,[1]Trav!$C$11:$O$31,$AU$105),0)</f>
        <v>7</v>
      </c>
      <c r="BQ109" s="190">
        <f>IF(BQ63&gt;0,HLOOKUP(BQ63,[1]Trav!$C$11:$O$31,$AU$105),0)</f>
        <v>7</v>
      </c>
      <c r="BR109" s="190">
        <f>IF(BR63&gt;0,HLOOKUP(BR63,[1]Trav!$C$11:$O$31,$AU$105),0)</f>
        <v>7</v>
      </c>
      <c r="BS109" s="190">
        <f>IF(BS63&gt;0,HLOOKUP(BS63,[1]Trav!$C$11:$O$31,$AU$105),0)</f>
        <v>7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40.25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19.25</v>
      </c>
      <c r="CU117" s="173">
        <f t="shared" si="84"/>
        <v>17.5</v>
      </c>
      <c r="CV117" s="173">
        <f t="shared" si="84"/>
        <v>24.5</v>
      </c>
      <c r="CW117" s="173">
        <f t="shared" si="84"/>
        <v>24.5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3105.060442028986</v>
      </c>
      <c r="D118" s="202">
        <f>B118/Troupeau!$B$17</f>
        <v>8.6976482969999616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863.7</v>
      </c>
      <c r="D119" s="202">
        <f>IF(B119=0,0,B119/Troupeau!$C$17)</f>
        <v>41.128571428571433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3968.7604420289863</v>
      </c>
    </row>
    <row r="123" spans="1:132" x14ac:dyDescent="0.25">
      <c r="A123" s="2" t="s">
        <v>856</v>
      </c>
      <c r="B123" s="30">
        <f>B108</f>
        <v>414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1">
        <f>SUM(B122:B126)</f>
        <v>4982.7604420289863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1">
        <f>ROUND((B128-B129)/(Scénario!K4+Scénario!K6),0)</f>
        <v>3322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32" zoomScale="90" zoomScaleNormal="90" workbookViewId="0">
      <selection activeCell="S51" sqref="S5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0.56999999999999995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137.52999999999997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137.52999999999997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15417.5</v>
      </c>
      <c r="AE41" s="283">
        <f>ROUND(SUM(AE38:AE40)*T25,0)</f>
        <v>15418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137.52999999999997</v>
      </c>
      <c r="C42" s="215">
        <f>[1]Eco!$B$24</f>
        <v>97</v>
      </c>
      <c r="J42" s="173">
        <f>B42*C42</f>
        <v>13340.409999999998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137.52999999999997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9214.5099999999984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15418</v>
      </c>
      <c r="K45" s="173"/>
      <c r="L45" s="173"/>
      <c r="M45" s="173"/>
      <c r="N45" s="173"/>
      <c r="O45" s="210"/>
      <c r="U45" s="14" t="s">
        <v>990</v>
      </c>
      <c r="V45" s="173">
        <f>S55</f>
        <v>99.169999999999987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137.52999999999997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126921.02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147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64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211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99.169999999999987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1</v>
      </c>
      <c r="AT58" s="221">
        <f>IF(CdTrp1!N76=4,1,0)</f>
        <v>1</v>
      </c>
      <c r="AU58" s="221">
        <f>IF(CdTrp1!O76=4,1,0)</f>
        <v>1</v>
      </c>
      <c r="AV58" s="221">
        <f>IF(CdTrp1!P76=4,1,0)</f>
        <v>1</v>
      </c>
      <c r="AW58" s="221">
        <f>IF(CdTrp1!Q76=4,1,0)</f>
        <v>1</v>
      </c>
      <c r="AX58" s="221">
        <f>IF(CdTrp1!R76=4,1,0)</f>
        <v>1</v>
      </c>
      <c r="AY58" s="221">
        <f>IF(CdTrp1!S76=4,1,0)</f>
        <v>1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1</v>
      </c>
      <c r="BT58" s="217">
        <f>IF(CdTrp2!M76=4,1,0)</f>
        <v>1</v>
      </c>
      <c r="BU58" s="217">
        <f>IF(CdTrp2!N76=4,1,0)</f>
        <v>1</v>
      </c>
      <c r="BV58" s="217">
        <f>IF(CdTrp2!O76=4,1,0)</f>
        <v>1</v>
      </c>
      <c r="BW58" s="217">
        <f>IF(CdTrp2!P76=4,1,0)</f>
        <v>1</v>
      </c>
      <c r="BX58" s="217">
        <f>IF(CdTrp2!Q76=4,1,0)</f>
        <v>1</v>
      </c>
      <c r="BY58" s="217">
        <f>IF(CdTrp2!R76=4,1,0)</f>
        <v>1</v>
      </c>
      <c r="BZ58" s="217">
        <f>IF(CdTrp2!S76=4,1,0)</f>
        <v>1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1</v>
      </c>
      <c r="AT59" s="221">
        <f>IF(CdTrp1!N77=4,1,0)</f>
        <v>1</v>
      </c>
      <c r="AU59" s="221">
        <f>IF(CdTrp1!O77=4,1,0)</f>
        <v>1</v>
      </c>
      <c r="AV59" s="221">
        <f>IF(CdTrp1!P77=4,1,0)</f>
        <v>1</v>
      </c>
      <c r="AW59" s="221">
        <f>IF(CdTrp1!Q77=4,1,0)</f>
        <v>1</v>
      </c>
      <c r="AX59" s="221">
        <f>IF(CdTrp1!R77=4,1,0)</f>
        <v>1</v>
      </c>
      <c r="AY59" s="221">
        <f>IF(CdTrp1!S77=4,1,0)</f>
        <v>1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41.939739130434788</v>
      </c>
      <c r="AT69" s="221">
        <f t="shared" si="26"/>
        <v>41.939739130434788</v>
      </c>
      <c r="AU69" s="221">
        <f t="shared" si="26"/>
        <v>41.939739130434788</v>
      </c>
      <c r="AV69" s="221">
        <f t="shared" si="26"/>
        <v>41.939739130434788</v>
      </c>
      <c r="AW69" s="221">
        <f t="shared" si="26"/>
        <v>41.939739130434788</v>
      </c>
      <c r="AX69" s="221">
        <f t="shared" si="26"/>
        <v>41.939739130434788</v>
      </c>
      <c r="AY69" s="221">
        <f t="shared" si="26"/>
        <v>41.939739130434788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13.566000000000001</v>
      </c>
      <c r="BT69" s="217">
        <f t="shared" si="28"/>
        <v>13.566000000000001</v>
      </c>
      <c r="BU69" s="217">
        <f t="shared" si="28"/>
        <v>13.566000000000001</v>
      </c>
      <c r="BV69" s="217">
        <f t="shared" si="28"/>
        <v>13.566000000000001</v>
      </c>
      <c r="BW69" s="217">
        <f t="shared" si="28"/>
        <v>13.566000000000001</v>
      </c>
      <c r="BX69" s="217">
        <f t="shared" si="28"/>
        <v>13.566000000000001</v>
      </c>
      <c r="BY69" s="217">
        <f t="shared" si="28"/>
        <v>12.851999999999999</v>
      </c>
      <c r="BZ69" s="217">
        <f t="shared" si="28"/>
        <v>12.851999999999999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107.10000000000001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28.202839999999981</v>
      </c>
      <c r="C118" s="190">
        <f>IF(Scénario!$K$12="BV",[1]Eco!$B$78,IF(Scénario!$K$12="BL",[1]Eco!$B$77,[1]Eco!$B$76))</f>
        <v>223</v>
      </c>
      <c r="J118" s="173">
        <f>B118*C118</f>
        <v>6289.2333199999957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49.879999999999995</v>
      </c>
      <c r="C119" s="190">
        <f>[1]Eco!$B$79</f>
        <v>80</v>
      </c>
      <c r="J119" s="173">
        <f>B119*C119</f>
        <v>3990.3999999999996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3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108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16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994.56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5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334.20000000000005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0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54131.353320000002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30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14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1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1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0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6.5</v>
      </c>
      <c r="T167" s="173">
        <f>VLOOKUP(R167,[1]MEP!$A$4:$M$300,13)</f>
        <v>1</v>
      </c>
      <c r="U167" s="173">
        <f t="shared" si="72"/>
        <v>6.5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6.5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6.5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35707.5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72"/>
        <v>2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2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2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37082.166679999995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24721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24082.166679999995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16055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72"/>
        <v>1.5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1.5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1.5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72"/>
        <v>2</v>
      </c>
      <c r="V189" s="173">
        <f t="shared" si="73"/>
        <v>2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30</v>
      </c>
      <c r="V228" s="62">
        <f t="shared" ref="V228:W228" si="84">SUM(V164:V227)</f>
        <v>14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3</v>
      </c>
      <c r="AI228" s="62">
        <f t="shared" si="86"/>
        <v>16</v>
      </c>
      <c r="AJ228" s="62">
        <f t="shared" si="86"/>
        <v>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3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3">
        <f>[1]Eco!$B$111</f>
        <v>28.3</v>
      </c>
      <c r="X247" s="173">
        <f>T247*W247</f>
        <v>0</v>
      </c>
    </row>
    <row r="248" spans="17:31" x14ac:dyDescent="0.25">
      <c r="W248" s="14" t="s">
        <v>1117</v>
      </c>
      <c r="X248" s="173">
        <f>SUM(X245:X247)</f>
        <v>0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7234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3">
        <f>IF(T256=0,0,[1]Protect!$B76)</f>
        <v>7500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5787.2000000000007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5787.2000000000007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Z3_OLBV_T3_ZIsi</v>
      </c>
      <c r="D1" s="275" t="str">
        <f>CONCATENATE(C1,"_corr")</f>
        <v>Z3_OLBV_T3_ZIsi_corr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0</v>
      </c>
      <c r="D23" s="177">
        <f t="shared" si="0"/>
        <v>0</v>
      </c>
    </row>
    <row r="24" spans="2:5" x14ac:dyDescent="0.25">
      <c r="B24" s="14" t="s">
        <v>570</v>
      </c>
      <c r="C24" s="177">
        <f>Scénario!K55</f>
        <v>0</v>
      </c>
      <c r="D24" s="177">
        <f t="shared" si="0"/>
        <v>0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1. 1 visite par semaine</v>
      </c>
      <c r="D26" s="177" t="str">
        <f t="shared" si="0"/>
        <v>1. 1 visite par semaine</v>
      </c>
    </row>
    <row r="27" spans="2:5" x14ac:dyDescent="0.25">
      <c r="B27" s="14" t="s">
        <v>577</v>
      </c>
      <c r="C27" s="177">
        <f>Scénario!K58</f>
        <v>0</v>
      </c>
      <c r="D27" s="177">
        <f t="shared" si="0"/>
        <v>0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3.5</v>
      </c>
      <c r="D43" s="177">
        <f t="shared" si="0"/>
        <v>3.5</v>
      </c>
      <c r="E43" s="14"/>
    </row>
    <row r="44" spans="2:5" x14ac:dyDescent="0.25">
      <c r="B44" s="14" t="s">
        <v>599</v>
      </c>
      <c r="C44" s="177">
        <f>Scénario!K77</f>
        <v>42</v>
      </c>
      <c r="D44" s="177">
        <f t="shared" si="0"/>
        <v>42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4</v>
      </c>
      <c r="D46" s="177">
        <f t="shared" si="0"/>
        <v>4</v>
      </c>
      <c r="E46" s="14"/>
    </row>
    <row r="47" spans="2:5" x14ac:dyDescent="0.25">
      <c r="B47" s="14" t="s">
        <v>604</v>
      </c>
      <c r="C47" s="177">
        <f>Scénario!K80</f>
        <v>16</v>
      </c>
      <c r="D47" s="177">
        <f t="shared" si="0"/>
        <v>16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0</v>
      </c>
      <c r="D51" s="177">
        <f t="shared" si="0"/>
        <v>0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0</v>
      </c>
      <c r="D53" s="177">
        <f t="shared" si="0"/>
        <v>0</v>
      </c>
      <c r="E53" s="14"/>
    </row>
    <row r="54" spans="1:132" x14ac:dyDescent="0.25">
      <c r="B54" s="14" t="s">
        <v>623</v>
      </c>
      <c r="C54" s="177">
        <f>Scénario!K89</f>
        <v>0</v>
      </c>
      <c r="D54" s="177">
        <f t="shared" si="0"/>
        <v>0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0</v>
      </c>
      <c r="D61" s="177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30</v>
      </c>
      <c r="D85" s="261">
        <f>ROUND(C85*$D$82/$C$82,3)</f>
        <v>28.448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14</v>
      </c>
      <c r="D86" s="261">
        <f t="shared" ref="D86:D97" si="14">ROUND(C86*$D$82/$C$82,3)</f>
        <v>13.276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4</v>
      </c>
      <c r="T94" s="30">
        <f>CdTrp1!N76</f>
        <v>4</v>
      </c>
      <c r="U94" s="30">
        <f>CdTrp1!O76</f>
        <v>4</v>
      </c>
      <c r="V94" s="30">
        <f>CdTrp1!P76</f>
        <v>4</v>
      </c>
      <c r="W94" s="30">
        <f>CdTrp1!Q76</f>
        <v>4</v>
      </c>
      <c r="X94" s="30">
        <f>CdTrp1!R76</f>
        <v>4</v>
      </c>
      <c r="Y94" s="30">
        <f>CdTrp1!S76</f>
        <v>4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4</v>
      </c>
      <c r="T95" s="30">
        <f>CdTrp1!N77</f>
        <v>4</v>
      </c>
      <c r="U95" s="30">
        <f>CdTrp1!O77</f>
        <v>4</v>
      </c>
      <c r="V95" s="30">
        <f>CdTrp1!P77</f>
        <v>4</v>
      </c>
      <c r="W95" s="30">
        <f>CdTrp1!Q77</f>
        <v>4</v>
      </c>
      <c r="X95" s="30">
        <f>CdTrp1!R77</f>
        <v>4</v>
      </c>
      <c r="Y95" s="30">
        <f>CdTrp1!S77</f>
        <v>4</v>
      </c>
      <c r="Z95" s="30">
        <f>CdTrp1!T77</f>
        <v>2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4</v>
      </c>
      <c r="S105" s="30">
        <f>CdTrp2!M76</f>
        <v>4</v>
      </c>
      <c r="T105" s="30">
        <f>CdTrp2!N76</f>
        <v>4</v>
      </c>
      <c r="U105" s="30">
        <f>CdTrp2!O76</f>
        <v>4</v>
      </c>
      <c r="V105" s="30">
        <f>CdTrp2!P76</f>
        <v>4</v>
      </c>
      <c r="W105" s="30">
        <f>CdTrp2!Q76</f>
        <v>4</v>
      </c>
      <c r="X105" s="30">
        <f>CdTrp2!R76</f>
        <v>4</v>
      </c>
      <c r="Y105" s="30">
        <f>CdTrp2!S76</f>
        <v>4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36.5</v>
      </c>
      <c r="D106" s="173">
        <f t="shared" si="25"/>
        <v>36.5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64.5</v>
      </c>
      <c r="D109" s="173">
        <f t="shared" si="25"/>
        <v>64.5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4</v>
      </c>
      <c r="BH109" s="173">
        <v>2</v>
      </c>
      <c r="BI109" s="173">
        <f>IF(CdTrp1!O76=1,1,IF(CdTrp1!O76=2,2,IF(CdTrp1!O76=3,2,IF(CdTrp1!O76=4,4,0))))</f>
        <v>4</v>
      </c>
      <c r="BJ109" s="173">
        <f>IF(CdTrp1!P76=1,1,IF(CdTrp1!P76=2,2,IF(CdTrp1!P76=3,2,IF(CdTrp1!P76=4,4,0))))</f>
        <v>4</v>
      </c>
      <c r="BK109" s="173">
        <f>IF(CdTrp1!Q76=1,1,IF(CdTrp1!Q76=2,2,IF(CdTrp1!Q76=3,2,IF(CdTrp1!Q76=4,4,0))))</f>
        <v>4</v>
      </c>
      <c r="BL109" s="173">
        <f>IF(CdTrp1!R76=1,1,IF(CdTrp1!R76=2,2,IF(CdTrp1!R76=3,2,IF(CdTrp1!R76=4,4,0))))</f>
        <v>4</v>
      </c>
      <c r="BM109" s="173">
        <f>IF(CdTrp1!S76=1,1,IF(CdTrp1!S76=2,2,IF(CdTrp1!S76=3,2,IF(CdTrp1!S76=4,4,0))))</f>
        <v>4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4</v>
      </c>
      <c r="CM109" s="173">
        <f>IF(CdTrp2!M76=1,1,IF(CdTrp2!M76=2,2,IF(CdTrp2!M76=3,2,IF(CdTrp2!M76=4,4,0))))</f>
        <v>4</v>
      </c>
      <c r="CN109" s="173">
        <f>IF(CdTrp2!N76=1,1,IF(CdTrp2!N76=2,2,IF(CdTrp2!N76=3,2,IF(CdTrp2!N76=4,4,0))))</f>
        <v>4</v>
      </c>
      <c r="CO109" s="173">
        <f>IF(CdTrp2!O76=1,1,IF(CdTrp2!O76=2,2,IF(CdTrp2!O76=3,2,IF(CdTrp2!O76=4,4,0))))</f>
        <v>4</v>
      </c>
      <c r="CP109" s="173">
        <f>IF(CdTrp2!P76=1,1,IF(CdTrp2!P76=2,2,IF(CdTrp2!P76=3,2,IF(CdTrp2!P76=4,4,0))))</f>
        <v>4</v>
      </c>
      <c r="CQ109" s="173">
        <f>IF(CdTrp2!Q76=1,1,IF(CdTrp2!Q76=2,2,IF(CdTrp2!Q76=3,2,IF(CdTrp2!Q76=4,4,0))))</f>
        <v>4</v>
      </c>
      <c r="CR109" s="173">
        <f>IF(CdTrp2!R76=1,1,IF(CdTrp2!R76=2,2,IF(CdTrp2!R76=3,2,IF(CdTrp2!R76=4,4,0))))</f>
        <v>4</v>
      </c>
      <c r="CS109" s="173">
        <f>IF(CdTrp2!S76=1,1,IF(CdTrp2!S76=2,2,IF(CdTrp2!S76=3,2,IF(CdTrp2!S76=4,4,0))))</f>
        <v>4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14.5</v>
      </c>
      <c r="D110" s="173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2</v>
      </c>
      <c r="BF110" s="173">
        <f>IF(CdTrp1!L77=1,1,IF(CdTrp1!L77=2,2,IF(CdTrp1!L77=3,2,IF(CdTrp1!L77=4,4,0))))</f>
        <v>2</v>
      </c>
      <c r="BG110" s="173">
        <f>IF(CdTrp1!M77=1,1,IF(CdTrp1!M77=2,2,IF(CdTrp1!M77=3,2,IF(CdTrp1!M77=4,4,0))))</f>
        <v>4</v>
      </c>
      <c r="BH110" s="173">
        <f>IF(CdTrp1!N77=1,1,IF(CdTrp1!N77=2,2,IF(CdTrp1!N77=3,2,IF(CdTrp1!N77=4,4,0))))</f>
        <v>4</v>
      </c>
      <c r="BI110" s="173">
        <f>IF(CdTrp1!O77=1,1,IF(CdTrp1!O77=2,2,IF(CdTrp1!O77=3,2,IF(CdTrp1!O77=4,4,0))))</f>
        <v>4</v>
      </c>
      <c r="BJ110" s="173">
        <f>IF(CdTrp1!P77=1,1,IF(CdTrp1!P77=2,2,IF(CdTrp1!P77=3,2,IF(CdTrp1!P77=4,4,0))))</f>
        <v>4</v>
      </c>
      <c r="BK110" s="173">
        <f>IF(CdTrp1!Q77=1,1,IF(CdTrp1!Q77=2,2,IF(CdTrp1!Q77=3,2,IF(CdTrp1!Q77=4,4,0))))</f>
        <v>4</v>
      </c>
      <c r="BL110" s="173">
        <f>IF(CdTrp1!R77=1,1,IF(CdTrp1!R77=2,2,IF(CdTrp1!R77=3,2,IF(CdTrp1!R77=4,4,0))))</f>
        <v>4</v>
      </c>
      <c r="BM110" s="173">
        <f>IF(CdTrp1!S77=1,1,IF(CdTrp1!S77=2,2,IF(CdTrp1!S77=3,2,IF(CdTrp1!S77=4,4,0))))</f>
        <v>4</v>
      </c>
      <c r="BN110" s="173">
        <f>IF(CdTrp1!T77=1,1,IF(CdTrp1!T77=2,2,IF(CdTrp1!T77=3,2,IF(CdTrp1!T77=4,4,0))))</f>
        <v>2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</v>
      </c>
      <c r="D111" s="173">
        <f t="shared" si="25"/>
        <v>12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1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15</v>
      </c>
      <c r="D113" s="173">
        <f t="shared" si="25"/>
        <v>15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</v>
      </c>
      <c r="D114" s="173">
        <f t="shared" si="25"/>
        <v>12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7</v>
      </c>
      <c r="D119" s="173">
        <f t="shared" si="25"/>
        <v>7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4</v>
      </c>
      <c r="D120" s="173">
        <f t="shared" si="25"/>
        <v>4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0</v>
      </c>
      <c r="D122" s="173">
        <f t="shared" si="25"/>
        <v>0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112</v>
      </c>
      <c r="AW122" s="173">
        <f>IF(AW76=0,0,IF(AW99=3,0,VALUE(CONCATENATE(Travail!AW27,Travail!AW38,Travail!AW49))))</f>
        <v>112</v>
      </c>
      <c r="AX122" s="173">
        <f>IF(AX76=0,0,IF(AX99=3,0,VALUE(CONCATENATE(Travail!AX27,Travail!AX38,Travail!AX49))))</f>
        <v>112</v>
      </c>
      <c r="AY122" s="173">
        <f>IF(AY76=0,0,IF(AY99=3,0,VALUE(CONCATENATE(Travail!AY27,Travail!AY38,Travail!AY49))))</f>
        <v>112</v>
      </c>
      <c r="AZ122" s="173">
        <f>IF(AZ76=0,0,IF(AZ99=3,0,VALUE(CONCATENATE(Travail!AZ27,Travail!AZ38,Travail!AZ49))))</f>
        <v>112</v>
      </c>
      <c r="BA122" s="173">
        <f>IF(BA76=0,0,IF(BA99=3,0,VALUE(CONCATENATE(Travail!BA27,Travail!BA38,Travail!BA49))))</f>
        <v>112</v>
      </c>
      <c r="BB122" s="173">
        <f>IF(BB76=0,0,IF(BB99=3,0,VALUE(CONCATENATE(Travail!BB27,Travail!BB38,Travail!BB49))))</f>
        <v>112</v>
      </c>
      <c r="BC122" s="173">
        <f>IF(BC76=0,0,IF(BC99=3,0,VALUE(CONCATENATE(Travail!BC27,Travail!BC38,Travail!BC49))))</f>
        <v>112</v>
      </c>
      <c r="BD122" s="173">
        <f>IF(BD76=0,0,IF(BD99=3,0,VALUE(CONCATENATE(Travail!BD27,Travail!BD38,Travail!BD49))))</f>
        <v>112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112</v>
      </c>
      <c r="BP122" s="173">
        <f>IF(BP76=0,0,IF(BP99=3,0,VALUE(CONCATENATE(Travail!BP27,Travail!BP38,Travail!BP49))))</f>
        <v>112</v>
      </c>
      <c r="BQ122" s="173">
        <f>IF(BQ76=0,0,IF(BQ99=3,0,VALUE(CONCATENATE(Travail!BQ27,Travail!BQ38,Travail!BQ49))))</f>
        <v>112</v>
      </c>
      <c r="BR122" s="173">
        <f>IF(BR76=0,0,IF(BR99=3,0,VALUE(CONCATENATE(Travail!BR27,Travail!BR38,Travail!BR49))))</f>
        <v>112</v>
      </c>
      <c r="BS122" s="173">
        <f>IF(BS76=0,0,IF(BS99=3,0,VALUE(CONCATENATE(Travail!BS27,Travail!BS38,Travail!BS49))))</f>
        <v>112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112</v>
      </c>
      <c r="AW124" s="173">
        <f>IF(AW78=0,0,IF(AW101=3,0,VALUE(CONCATENATE(Travail!AW29,Travail!AW40,Travail!AW51))))</f>
        <v>112</v>
      </c>
      <c r="AX124" s="173">
        <f>IF(AX78=0,0,IF(AX101=3,0,VALUE(CONCATENATE(Travail!AX29,Travail!AX40,Travail!AX51))))</f>
        <v>112</v>
      </c>
      <c r="AY124" s="173">
        <f>IF(AY78=0,0,IF(AY101=3,0,VALUE(CONCATENATE(Travail!AY29,Travail!AY40,Travail!AY51))))</f>
        <v>112</v>
      </c>
      <c r="AZ124" s="173">
        <f>IF(AZ78=0,0,IF(AZ101=3,0,VALUE(CONCATENATE(Travail!AZ29,Travail!AZ40,Travail!AZ51))))</f>
        <v>112</v>
      </c>
      <c r="BA124" s="173">
        <f>IF(BA78=0,0,IF(BA101=3,0,VALUE(CONCATENATE(Travail!BA29,Travail!BA40,Travail!BA51))))</f>
        <v>112</v>
      </c>
      <c r="BB124" s="173">
        <f>IF(BB78=0,0,IF(BB101=3,0,VALUE(CONCATENATE(Travail!BB29,Travail!BB40,Travail!BB51))))</f>
        <v>112</v>
      </c>
      <c r="BC124" s="173">
        <f>IF(BC78=0,0,IF(BC101=3,0,VALUE(CONCATENATE(Travail!BC29,Travail!BC40,Travail!BC51))))</f>
        <v>112</v>
      </c>
      <c r="BD124" s="173">
        <f>IF(BD78=0,0,IF(BD101=3,0,VALUE(CONCATENATE(Travail!BD29,Travail!BD40,Travail!BD51))))</f>
        <v>111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112</v>
      </c>
      <c r="BP124" s="173">
        <f>IF(BP78=0,0,IF(BP101=3,0,VALUE(CONCATENATE(Travail!BP29,Travail!BP40,Travail!BP51))))</f>
        <v>112</v>
      </c>
      <c r="BQ124" s="173">
        <f>IF(BQ78=0,0,IF(BQ101=3,0,VALUE(CONCATENATE(Travail!BQ29,Travail!BQ40,Travail!BQ51))))</f>
        <v>112</v>
      </c>
      <c r="BR124" s="173">
        <f>IF(BR78=0,0,IF(BR101=3,0,VALUE(CONCATENATE(Travail!BR29,Travail!BR40,Travail!BR51))))</f>
        <v>112</v>
      </c>
      <c r="BS124" s="173">
        <f>IF(BS78=0,0,IF(BS101=3,0,VALUE(CONCATENATE(Travail!BS29,Travail!BS40,Travail!BS51))))</f>
        <v>112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0</v>
      </c>
      <c r="D125" s="173">
        <f t="shared" si="25"/>
        <v>0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0</v>
      </c>
      <c r="D128" s="173">
        <f t="shared" si="25"/>
        <v>0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3.5</v>
      </c>
      <c r="D129" s="173">
        <f t="shared" si="25"/>
        <v>3.5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4</v>
      </c>
      <c r="D130" s="173">
        <f t="shared" si="25"/>
        <v>4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4</v>
      </c>
      <c r="D132" s="173">
        <f t="shared" si="25"/>
        <v>4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5</v>
      </c>
      <c r="K132">
        <f t="shared" si="38"/>
        <v>6</v>
      </c>
      <c r="L132">
        <f t="shared" si="38"/>
        <v>6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6</v>
      </c>
      <c r="T132">
        <f t="shared" si="38"/>
        <v>6</v>
      </c>
      <c r="U132">
        <f t="shared" si="38"/>
        <v>6</v>
      </c>
      <c r="V132">
        <f t="shared" si="38"/>
        <v>6</v>
      </c>
      <c r="W132">
        <f t="shared" si="38"/>
        <v>6</v>
      </c>
      <c r="X132">
        <f t="shared" si="38"/>
        <v>6</v>
      </c>
      <c r="Y132">
        <f t="shared" si="38"/>
        <v>6</v>
      </c>
      <c r="Z132">
        <f t="shared" si="38"/>
        <v>6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0.49152542372881358</v>
      </c>
      <c r="D133" s="262">
        <f t="shared" si="25"/>
        <v>0.49152542372881358</v>
      </c>
      <c r="AT133" s="189" t="str">
        <f t="shared" ref="AT133:AT141" si="42">AT122</f>
        <v>vides</v>
      </c>
      <c r="AV133" s="173">
        <f t="shared" si="39"/>
        <v>11</v>
      </c>
      <c r="AW133" s="173">
        <f t="shared" si="39"/>
        <v>11</v>
      </c>
      <c r="AX133" s="173">
        <f t="shared" si="39"/>
        <v>11</v>
      </c>
      <c r="AY133" s="173">
        <f t="shared" si="39"/>
        <v>11</v>
      </c>
      <c r="AZ133" s="173">
        <f t="shared" si="39"/>
        <v>11</v>
      </c>
      <c r="BA133" s="173">
        <f t="shared" si="39"/>
        <v>11</v>
      </c>
      <c r="BB133" s="173">
        <f t="shared" si="39"/>
        <v>11</v>
      </c>
      <c r="BC133" s="173">
        <f t="shared" si="39"/>
        <v>11</v>
      </c>
      <c r="BD133" s="173">
        <f t="shared" si="39"/>
        <v>11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11</v>
      </c>
      <c r="BP133" s="173">
        <f t="shared" si="39"/>
        <v>11</v>
      </c>
      <c r="BQ133" s="173">
        <f t="shared" si="39"/>
        <v>11</v>
      </c>
      <c r="BR133" s="173">
        <f t="shared" si="39"/>
        <v>11</v>
      </c>
      <c r="BS133" s="173">
        <f t="shared" si="39"/>
        <v>11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0.5</v>
      </c>
      <c r="D134" s="262">
        <f t="shared" si="25"/>
        <v>0.5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11</v>
      </c>
      <c r="AW135" s="173">
        <f t="shared" si="39"/>
        <v>11</v>
      </c>
      <c r="AX135" s="173">
        <f t="shared" si="39"/>
        <v>11</v>
      </c>
      <c r="AY135" s="173">
        <f t="shared" si="39"/>
        <v>11</v>
      </c>
      <c r="AZ135" s="173">
        <f t="shared" si="39"/>
        <v>11</v>
      </c>
      <c r="BA135" s="173">
        <f t="shared" si="39"/>
        <v>11</v>
      </c>
      <c r="BB135" s="173">
        <f t="shared" si="39"/>
        <v>11</v>
      </c>
      <c r="BC135" s="173">
        <f t="shared" si="39"/>
        <v>11</v>
      </c>
      <c r="BD135" s="173">
        <f t="shared" si="39"/>
        <v>11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11</v>
      </c>
      <c r="BP135" s="173">
        <f t="shared" si="39"/>
        <v>11</v>
      </c>
      <c r="BQ135" s="173">
        <f t="shared" si="39"/>
        <v>11</v>
      </c>
      <c r="BR135" s="173">
        <f t="shared" si="39"/>
        <v>11</v>
      </c>
      <c r="BS135" s="173">
        <f t="shared" si="39"/>
        <v>11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0.49532710280373832</v>
      </c>
      <c r="D136" s="262">
        <f t="shared" si="25"/>
        <v>0.49532710280373832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1</v>
      </c>
      <c r="T138">
        <f t="shared" si="51"/>
        <v>1</v>
      </c>
      <c r="U138">
        <f t="shared" si="51"/>
        <v>1</v>
      </c>
      <c r="V138">
        <f t="shared" si="51"/>
        <v>1</v>
      </c>
      <c r="W138">
        <f t="shared" si="51"/>
        <v>1</v>
      </c>
      <c r="X138">
        <f t="shared" si="51"/>
        <v>1</v>
      </c>
      <c r="Y138">
        <f t="shared" si="51"/>
        <v>1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1</v>
      </c>
      <c r="S139">
        <f t="shared" si="52"/>
        <v>1</v>
      </c>
      <c r="T139">
        <f t="shared" si="52"/>
        <v>1</v>
      </c>
      <c r="U139">
        <f t="shared" si="52"/>
        <v>1</v>
      </c>
      <c r="V139">
        <f t="shared" si="52"/>
        <v>1</v>
      </c>
      <c r="W139">
        <f t="shared" si="52"/>
        <v>1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1</v>
      </c>
      <c r="S141">
        <f t="shared" si="57"/>
        <v>1</v>
      </c>
      <c r="T141">
        <f t="shared" si="57"/>
        <v>1</v>
      </c>
      <c r="U141">
        <f t="shared" si="57"/>
        <v>1</v>
      </c>
      <c r="V141">
        <f t="shared" si="57"/>
        <v>1</v>
      </c>
      <c r="W141">
        <f t="shared" si="57"/>
        <v>1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370.91604197901046</v>
      </c>
      <c r="AW160" s="62">
        <f t="shared" ref="AW160:BS160" si="83">SUM(AW151:AW159)</f>
        <v>367.97226386806597</v>
      </c>
      <c r="AX160" s="62">
        <f t="shared" si="83"/>
        <v>365.02848575712142</v>
      </c>
      <c r="AY160" s="62">
        <f t="shared" si="83"/>
        <v>363.55659670164914</v>
      </c>
      <c r="AZ160" s="62">
        <f t="shared" si="83"/>
        <v>362.08470764617692</v>
      </c>
      <c r="BA160" s="62">
        <f t="shared" si="83"/>
        <v>360.61281859070465</v>
      </c>
      <c r="BB160" s="62">
        <f t="shared" si="83"/>
        <v>359.14092953523237</v>
      </c>
      <c r="BC160" s="62">
        <f t="shared" si="83"/>
        <v>357.6690404797601</v>
      </c>
      <c r="BD160" s="62">
        <f t="shared" si="83"/>
        <v>354.72526236881561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76.53823088455772</v>
      </c>
      <c r="BH160" s="62">
        <f t="shared" si="83"/>
        <v>76.53823088455772</v>
      </c>
      <c r="BI160" s="62">
        <f t="shared" si="83"/>
        <v>76.53823088455772</v>
      </c>
      <c r="BJ160" s="62">
        <f t="shared" si="83"/>
        <v>76.53823088455772</v>
      </c>
      <c r="BK160" s="62">
        <f t="shared" si="83"/>
        <v>76.53823088455772</v>
      </c>
      <c r="BL160" s="62">
        <f t="shared" si="83"/>
        <v>76.53823088455772</v>
      </c>
      <c r="BM160" s="62">
        <f t="shared" si="83"/>
        <v>76.53823088455772</v>
      </c>
      <c r="BN160" s="62">
        <f t="shared" si="83"/>
        <v>360.61281859070465</v>
      </c>
      <c r="BO160" s="62">
        <f t="shared" si="83"/>
        <v>310.5685907046477</v>
      </c>
      <c r="BP160" s="62">
        <f t="shared" si="83"/>
        <v>310.5685907046477</v>
      </c>
      <c r="BQ160" s="62">
        <f t="shared" si="83"/>
        <v>370.91604197901046</v>
      </c>
      <c r="BR160" s="62">
        <f t="shared" si="83"/>
        <v>370.91604197901046</v>
      </c>
      <c r="BS160" s="62">
        <f t="shared" si="83"/>
        <v>370.91604197901046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116.84180229430434</v>
      </c>
      <c r="D161" s="263">
        <f t="shared" si="50"/>
        <v>110.79826079632308</v>
      </c>
      <c r="AT161" s="189" t="s">
        <v>844</v>
      </c>
      <c r="AV161" s="173">
        <f>IF($AT$62="OL",AV160/50,AV160/10)</f>
        <v>7.4183208395802094</v>
      </c>
      <c r="AW161" s="173">
        <f t="shared" ref="AW161:BS161" si="86">IF($AT$62="OL",AW160/50,AW160/10)</f>
        <v>7.3594452773613197</v>
      </c>
      <c r="AX161" s="173">
        <f t="shared" si="86"/>
        <v>7.3005697151424283</v>
      </c>
      <c r="AY161" s="173">
        <f t="shared" si="86"/>
        <v>7.271131934032983</v>
      </c>
      <c r="AZ161" s="173">
        <f t="shared" si="86"/>
        <v>7.2416941529235386</v>
      </c>
      <c r="BA161" s="173">
        <f t="shared" si="86"/>
        <v>7.2122563718140933</v>
      </c>
      <c r="BB161" s="173">
        <f t="shared" si="86"/>
        <v>7.1828185907046471</v>
      </c>
      <c r="BC161" s="173">
        <f t="shared" si="86"/>
        <v>7.1533808095952018</v>
      </c>
      <c r="BD161" s="173">
        <f t="shared" si="86"/>
        <v>7.0945052473763122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1.5307646176911545</v>
      </c>
      <c r="BH161" s="173">
        <f t="shared" si="86"/>
        <v>1.5307646176911545</v>
      </c>
      <c r="BI161" s="173">
        <f t="shared" si="86"/>
        <v>1.5307646176911545</v>
      </c>
      <c r="BJ161" s="173">
        <f t="shared" si="86"/>
        <v>1.5307646176911545</v>
      </c>
      <c r="BK161" s="173">
        <f t="shared" si="86"/>
        <v>1.5307646176911545</v>
      </c>
      <c r="BL161" s="173">
        <f t="shared" si="86"/>
        <v>1.5307646176911545</v>
      </c>
      <c r="BM161" s="173">
        <f t="shared" si="86"/>
        <v>1.5307646176911545</v>
      </c>
      <c r="BN161" s="173">
        <f t="shared" si="86"/>
        <v>7.2122563718140933</v>
      </c>
      <c r="BO161" s="173">
        <f t="shared" si="86"/>
        <v>6.2113718140929537</v>
      </c>
      <c r="BP161" s="173">
        <f t="shared" si="86"/>
        <v>6.2113718140929537</v>
      </c>
      <c r="BQ161" s="173">
        <f t="shared" si="86"/>
        <v>7.4183208395802094</v>
      </c>
      <c r="BR161" s="173">
        <f t="shared" si="86"/>
        <v>7.4183208395802094</v>
      </c>
      <c r="BS161" s="173">
        <f t="shared" si="86"/>
        <v>7.4183208395802094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135.89985872774355</v>
      </c>
      <c r="D162" s="263">
        <f t="shared" si="50"/>
        <v>128.87055569010164</v>
      </c>
      <c r="AT162" s="189" t="s">
        <v>846</v>
      </c>
      <c r="AV162" s="173">
        <f>IF(AV161&gt;1,AV161-1,0)</f>
        <v>6.4183208395802094</v>
      </c>
      <c r="AW162" s="173">
        <f t="shared" ref="AW162:BS162" si="89">IF(AW161&gt;1,AW161-1,0)</f>
        <v>6.3594452773613197</v>
      </c>
      <c r="AX162" s="173">
        <f t="shared" si="89"/>
        <v>6.3005697151424283</v>
      </c>
      <c r="AY162" s="173">
        <f t="shared" si="89"/>
        <v>6.271131934032983</v>
      </c>
      <c r="AZ162" s="173">
        <f t="shared" si="89"/>
        <v>6.2416941529235386</v>
      </c>
      <c r="BA162" s="173">
        <f t="shared" si="89"/>
        <v>6.2122563718140933</v>
      </c>
      <c r="BB162" s="173">
        <f t="shared" si="89"/>
        <v>6.1828185907046471</v>
      </c>
      <c r="BC162" s="173">
        <f t="shared" si="89"/>
        <v>6.1533808095952018</v>
      </c>
      <c r="BD162" s="173">
        <f t="shared" si="89"/>
        <v>6.0945052473763122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0.53076461769115446</v>
      </c>
      <c r="BH162" s="173">
        <f t="shared" si="89"/>
        <v>0.53076461769115446</v>
      </c>
      <c r="BI162" s="173">
        <f t="shared" si="89"/>
        <v>0.53076461769115446</v>
      </c>
      <c r="BJ162" s="173">
        <f t="shared" si="89"/>
        <v>0.53076461769115446</v>
      </c>
      <c r="BK162" s="173">
        <f t="shared" si="89"/>
        <v>0.53076461769115446</v>
      </c>
      <c r="BL162" s="173">
        <f t="shared" si="89"/>
        <v>0.53076461769115446</v>
      </c>
      <c r="BM162" s="173">
        <f t="shared" si="89"/>
        <v>0.53076461769115446</v>
      </c>
      <c r="BN162" s="173">
        <f t="shared" si="89"/>
        <v>6.2122563718140933</v>
      </c>
      <c r="BO162" s="173">
        <f t="shared" si="89"/>
        <v>5.2113718140929537</v>
      </c>
      <c r="BP162" s="173">
        <f t="shared" si="89"/>
        <v>5.2113718140929537</v>
      </c>
      <c r="BQ162" s="173">
        <f t="shared" si="89"/>
        <v>6.4183208395802094</v>
      </c>
      <c r="BR162" s="173">
        <f t="shared" si="89"/>
        <v>6.4183208395802094</v>
      </c>
      <c r="BS162" s="173">
        <f t="shared" si="89"/>
        <v>6.4183208395802094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53.232061469265368</v>
      </c>
      <c r="AW163" s="62">
        <f t="shared" ref="AW163:BS163" si="92">AW147+AW148*AW162</f>
        <v>53.129029235382312</v>
      </c>
      <c r="AX163" s="62">
        <f t="shared" si="92"/>
        <v>53.025997001499249</v>
      </c>
      <c r="AY163" s="62">
        <f t="shared" si="92"/>
        <v>52.974480884557721</v>
      </c>
      <c r="AZ163" s="62">
        <f t="shared" si="92"/>
        <v>52.922964767616193</v>
      </c>
      <c r="BA163" s="62">
        <f t="shared" si="92"/>
        <v>31.871448650674665</v>
      </c>
      <c r="BB163" s="62">
        <f t="shared" si="92"/>
        <v>31.81993253373313</v>
      </c>
      <c r="BC163" s="62">
        <f t="shared" si="92"/>
        <v>31.768416416791602</v>
      </c>
      <c r="BD163" s="62">
        <f t="shared" si="92"/>
        <v>31.665384182908547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21.928838080959519</v>
      </c>
      <c r="BH163" s="62">
        <f t="shared" si="92"/>
        <v>21.928838080959519</v>
      </c>
      <c r="BI163" s="62">
        <f t="shared" si="92"/>
        <v>21.928838080959519</v>
      </c>
      <c r="BJ163" s="62">
        <f t="shared" si="92"/>
        <v>21.928838080959519</v>
      </c>
      <c r="BK163" s="62">
        <f t="shared" si="92"/>
        <v>21.928838080959519</v>
      </c>
      <c r="BL163" s="62">
        <f t="shared" si="92"/>
        <v>21.928838080959519</v>
      </c>
      <c r="BM163" s="62">
        <f t="shared" si="92"/>
        <v>21.928838080959519</v>
      </c>
      <c r="BN163" s="62">
        <f t="shared" si="92"/>
        <v>31.871448650674665</v>
      </c>
      <c r="BO163" s="62">
        <f t="shared" si="92"/>
        <v>30.119900674662667</v>
      </c>
      <c r="BP163" s="62">
        <f t="shared" si="92"/>
        <v>51.119900674662667</v>
      </c>
      <c r="BQ163" s="62">
        <f t="shared" si="92"/>
        <v>53.232061469265368</v>
      </c>
      <c r="BR163" s="62">
        <f t="shared" si="92"/>
        <v>53.232061469265368</v>
      </c>
      <c r="BS163" s="62">
        <f t="shared" si="92"/>
        <v>53.232061469265368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63.560528640000037</v>
      </c>
      <c r="D165" s="263">
        <f t="shared" si="50"/>
        <v>60.272915089655207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41.357853662159989</v>
      </c>
      <c r="D166" s="263">
        <f t="shared" si="50"/>
        <v>39.218654334806885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7</v>
      </c>
      <c r="AW168" s="190">
        <f>IF(AW122&gt;0,HLOOKUP(AW122,[1]Trav!$C$11:$O$31,$AU$166),0)</f>
        <v>7</v>
      </c>
      <c r="AX168" s="190">
        <f>IF(AX122&gt;0,HLOOKUP(AX122,[1]Trav!$C$11:$O$31,$AU$166),0)</f>
        <v>7</v>
      </c>
      <c r="AY168" s="190">
        <f>IF(AY122&gt;0,HLOOKUP(AY122,[1]Trav!$C$11:$O$31,$AU$166),0)</f>
        <v>7</v>
      </c>
      <c r="AZ168" s="190">
        <f>IF(AZ122&gt;0,HLOOKUP(AZ122,[1]Trav!$C$11:$O$31,$AU$166),0)</f>
        <v>7</v>
      </c>
      <c r="BA168" s="190">
        <f>IF(BA122&gt;0,HLOOKUP(BA122,[1]Trav!$C$11:$O$31,$AU$166),0)</f>
        <v>7</v>
      </c>
      <c r="BB168" s="190">
        <f>IF(BB122&gt;0,HLOOKUP(BB122,[1]Trav!$C$11:$O$31,$AU$166),0)</f>
        <v>7</v>
      </c>
      <c r="BC168" s="190">
        <f>IF(BC122&gt;0,HLOOKUP(BC122,[1]Trav!$C$11:$O$31,$AU$166),0)</f>
        <v>7</v>
      </c>
      <c r="BD168" s="190">
        <f>IF(BD122&gt;0,HLOOKUP(BD122,[1]Trav!$C$11:$O$31,$AU$166),0)</f>
        <v>7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7</v>
      </c>
      <c r="BP168" s="190">
        <f>IF(BP122&gt;0,HLOOKUP(BP122,[1]Trav!$C$11:$O$31,$AU$166),0)</f>
        <v>7</v>
      </c>
      <c r="BQ168" s="190">
        <f>IF(BQ122&gt;0,HLOOKUP(BQ122,[1]Trav!$C$11:$O$31,$AU$166),0)</f>
        <v>7</v>
      </c>
      <c r="BR168" s="190">
        <f>IF(BR122&gt;0,HLOOKUP(BR122,[1]Trav!$C$11:$O$31,$AU$166),0)</f>
        <v>7</v>
      </c>
      <c r="BS168" s="190">
        <f>IF(BS122&gt;0,HLOOKUP(BS122,[1]Trav!$C$11:$O$31,$AU$166),0)</f>
        <v>7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132.51319999999998</v>
      </c>
      <c r="D169" s="263">
        <f t="shared" si="50"/>
        <v>125.65906896551722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115.68263941865219</v>
      </c>
      <c r="D170" s="263">
        <f t="shared" si="50"/>
        <v>109.6990546211357</v>
      </c>
      <c r="AT170" s="189" t="str">
        <f t="shared" si="95"/>
        <v>beliers</v>
      </c>
      <c r="AV170" s="190">
        <f>IF(AV124&gt;0,HLOOKUP(AV124,[1]Trav!$C$11:$O$31,$AU$166),0)</f>
        <v>7</v>
      </c>
      <c r="AW170" s="190">
        <f>IF(AW124&gt;0,HLOOKUP(AW124,[1]Trav!$C$11:$O$31,$AU$166),0)</f>
        <v>7</v>
      </c>
      <c r="AX170" s="190">
        <f>IF(AX124&gt;0,HLOOKUP(AX124,[1]Trav!$C$11:$O$31,$AU$166),0)</f>
        <v>7</v>
      </c>
      <c r="AY170" s="190">
        <f>IF(AY124&gt;0,HLOOKUP(AY124,[1]Trav!$C$11:$O$31,$AU$166),0)</f>
        <v>7</v>
      </c>
      <c r="AZ170" s="190">
        <f>IF(AZ124&gt;0,HLOOKUP(AZ124,[1]Trav!$C$11:$O$31,$AU$166),0)</f>
        <v>7</v>
      </c>
      <c r="BA170" s="190">
        <f>IF(BA124&gt;0,HLOOKUP(BA124,[1]Trav!$C$11:$O$31,$AU$166),0)</f>
        <v>7</v>
      </c>
      <c r="BB170" s="190">
        <f>IF(BB124&gt;0,HLOOKUP(BB124,[1]Trav!$C$11:$O$31,$AU$166),0)</f>
        <v>7</v>
      </c>
      <c r="BC170" s="190">
        <f>IF(BC124&gt;0,HLOOKUP(BC124,[1]Trav!$C$11:$O$31,$AU$166),0)</f>
        <v>7</v>
      </c>
      <c r="BD170" s="190">
        <f>IF(BD124&gt;0,HLOOKUP(BD124,[1]Trav!$C$11:$O$31,$AU$166),0)</f>
        <v>5.25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7</v>
      </c>
      <c r="BP170" s="190">
        <f>IF(BP124&gt;0,HLOOKUP(BP124,[1]Trav!$C$11:$O$31,$AU$166),0)</f>
        <v>7</v>
      </c>
      <c r="BQ170" s="190">
        <f>IF(BQ124&gt;0,HLOOKUP(BQ124,[1]Trav!$C$11:$O$31,$AU$166),0)</f>
        <v>7</v>
      </c>
      <c r="BR170" s="190">
        <f>IF(BR124&gt;0,HLOOKUP(BR124,[1]Trav!$C$11:$O$31,$AU$166),0)</f>
        <v>7</v>
      </c>
      <c r="BS170" s="190">
        <f>IF(BS124&gt;0,HLOOKUP(BS124,[1]Trav!$C$11:$O$31,$AU$166),0)</f>
        <v>7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135.89716000000001</v>
      </c>
      <c r="D171" s="263">
        <f t="shared" si="50"/>
        <v>128.86799655172416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164.1</v>
      </c>
      <c r="D172" s="263">
        <f t="shared" si="50"/>
        <v>155.61206896551721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16.830560581347797</v>
      </c>
      <c r="D173" s="263">
        <f t="shared" si="50"/>
        <v>15.960014344381529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87.3</v>
      </c>
      <c r="D174" s="263">
        <f t="shared" si="50"/>
        <v>82.784482758620683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-28.202839999999981</v>
      </c>
      <c r="D175" s="263">
        <f>C175*$D$82/$C$82</f>
        <v>-26.744072413793088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28.202839999999981</v>
      </c>
      <c r="D176" s="263">
        <f>C176*$D$82/$C$82</f>
        <v>26.744072413793088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90</v>
      </c>
      <c r="D178" s="173">
        <f>ROUND((D170+D171)/(D170+D172),2)*100</f>
        <v>90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40.25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42</v>
      </c>
      <c r="CU178" s="173">
        <f t="shared" si="99"/>
        <v>40.25</v>
      </c>
      <c r="CV178" s="173">
        <f t="shared" si="99"/>
        <v>33.25</v>
      </c>
      <c r="CW178" s="173">
        <f t="shared" si="99"/>
        <v>33.25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0</v>
      </c>
      <c r="D189" s="173">
        <f t="shared" si="101"/>
        <v>0</v>
      </c>
      <c r="AH189" s="15"/>
      <c r="AJ189" s="14" t="s">
        <v>1114</v>
      </c>
      <c r="AK189" s="30">
        <f>D189</f>
        <v>0</v>
      </c>
      <c r="AO189" s="173">
        <f>ROUND((([1]Protect!$B$5/[1]Protect!$B$11)+[1]Protect!$B$8)*AK189,0)</f>
        <v>0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3">
        <f>[1]Eco!$B$111</f>
        <v>28.3</v>
      </c>
      <c r="AO191" s="173">
        <f>AK191*AN191</f>
        <v>0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0</v>
      </c>
    </row>
    <row r="193" spans="1:43" x14ac:dyDescent="0.25">
      <c r="B193" s="14" t="s">
        <v>1309</v>
      </c>
      <c r="C193" s="173">
        <f>(Travail!F75+Travail!F76+Travail!F81)/8</f>
        <v>0</v>
      </c>
      <c r="D193" s="173">
        <f>C193</f>
        <v>0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1</v>
      </c>
      <c r="AK200" s="173">
        <f>IF(AJ200=0,0,[1]Protect!B76)</f>
        <v>7500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13340</v>
      </c>
      <c r="D206" s="261">
        <f>ROUND(C206*D$82/C$82,0)</f>
        <v>12650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9215</v>
      </c>
      <c r="D208" s="261">
        <f>ROUND(C208*D$82/C$82,0)</f>
        <v>8738</v>
      </c>
      <c r="S208" s="14" t="s">
        <v>978</v>
      </c>
      <c r="T208" s="30">
        <f>L212</f>
        <v>130.41651724137932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0</v>
      </c>
      <c r="AQ208" s="245"/>
    </row>
    <row r="209" spans="1:43" x14ac:dyDescent="0.25">
      <c r="B209" s="19" t="s">
        <v>989</v>
      </c>
      <c r="C209" s="173">
        <f>ROUND('Calcul éco'!J45,0)</f>
        <v>15418</v>
      </c>
      <c r="D209" s="264">
        <f>IF(Scénario!K9=0,0,ROUND(Z210,0))</f>
        <v>15418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94.04051724137932</v>
      </c>
      <c r="Y210" s="40" t="s">
        <v>949</v>
      </c>
      <c r="Z210" s="62">
        <f>SUM(Z207:Z209)*IF(Scénario!K2="Exploit. Ind.",1,Scénario!K3)</f>
        <v>15417.5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52682.1</v>
      </c>
      <c r="D211" s="264">
        <f>ROUND(SUM(D201:D210),0)</f>
        <v>50886</v>
      </c>
      <c r="E211" s="17" t="s">
        <v>1331</v>
      </c>
      <c r="K211" s="40" t="s">
        <v>995</v>
      </c>
      <c r="L211" s="62">
        <f>L209+L210</f>
        <v>130.41651724137932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130.41651724137932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147</v>
      </c>
      <c r="J216" s="48">
        <f>I216*D$82/C$82</f>
        <v>139.39655172413794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3628.92</v>
      </c>
      <c r="D217" s="261">
        <f t="shared" si="106"/>
        <v>3441</v>
      </c>
      <c r="G217" s="19" t="s">
        <v>601</v>
      </c>
      <c r="H217" s="19" t="str">
        <f>Troupeau!C3</f>
        <v>BV</v>
      </c>
      <c r="I217" s="30">
        <f>'Calcul éco'!S51</f>
        <v>64</v>
      </c>
      <c r="J217" s="48">
        <f t="shared" ref="J217:J218" si="107">I217*D$82/C$82</f>
        <v>60.689655172413794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10279.633319999995</v>
      </c>
      <c r="D218" s="261">
        <f t="shared" si="106"/>
        <v>9748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0</v>
      </c>
      <c r="D219" s="261">
        <f t="shared" si="106"/>
        <v>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211</v>
      </c>
      <c r="J220" s="30">
        <f>SUM(J216:J219)</f>
        <v>200.08620689655174</v>
      </c>
    </row>
    <row r="221" spans="1:43" x14ac:dyDescent="0.25">
      <c r="B221" s="14" t="s">
        <v>1346</v>
      </c>
      <c r="C221" s="173">
        <f>ROUND(SUM(C216:C220),0)</f>
        <v>54132</v>
      </c>
      <c r="D221" s="264">
        <f>ROUND(SUM(D216:D220),0)</f>
        <v>51332</v>
      </c>
      <c r="E221" s="17" t="s">
        <v>1345</v>
      </c>
      <c r="H221" s="14" t="s">
        <v>1001</v>
      </c>
      <c r="I221" s="30">
        <f>I220*[1]Eco!$B$25</f>
        <v>99.169999999999987</v>
      </c>
      <c r="J221" s="30">
        <f>J220*[1]Eco!$B$25</f>
        <v>94.04051724137932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0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35708</v>
      </c>
      <c r="D236" s="264">
        <f>ROUND(SUM(D222:D235),0)</f>
        <v>34178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37081.100000000006</v>
      </c>
      <c r="D237" s="264">
        <f>D194+D211-D221-D236</f>
        <v>35775</v>
      </c>
    </row>
    <row r="238" spans="1:49" x14ac:dyDescent="0.25">
      <c r="B238" s="211" t="s">
        <v>1090</v>
      </c>
      <c r="C238" s="173">
        <f>ROUND(C237/Scénario!$K$4,0)</f>
        <v>24721</v>
      </c>
      <c r="D238" s="264">
        <f>ROUND(D237/D83,0)</f>
        <v>17888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24081</v>
      </c>
      <c r="D241" s="268">
        <f>ROUND(D237-D239-D240,0)</f>
        <v>22775</v>
      </c>
    </row>
    <row r="242" spans="1:15" x14ac:dyDescent="0.25">
      <c r="B242" s="211" t="s">
        <v>1094</v>
      </c>
      <c r="C242" s="173">
        <f>ROUND(C241/Scénario!K4,0)</f>
        <v>16054</v>
      </c>
      <c r="D242" s="264">
        <f>ROUND(D241/D83,0)</f>
        <v>11388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530.25</v>
      </c>
      <c r="D245" s="173">
        <f>C245</f>
        <v>530.25</v>
      </c>
    </row>
    <row r="246" spans="1:15" x14ac:dyDescent="0.25">
      <c r="B246" s="14" t="s">
        <v>601</v>
      </c>
      <c r="C246" s="270">
        <f>Travail!F6</f>
        <v>161.69999999999999</v>
      </c>
      <c r="D246" s="173">
        <f t="shared" ref="D246:D247" si="112">C246</f>
        <v>161.69999999999999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895.08710869565266</v>
      </c>
      <c r="D248" s="264">
        <f>ROUND(SUM(AV163:BS163),1)</f>
        <v>882.5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0</v>
      </c>
      <c r="D251" s="173">
        <f>C251</f>
        <v>0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84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96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28.448</v>
      </c>
      <c r="L258" s="190">
        <f>IF(K258&gt;[1]Trav!E121,[1]Trav!C121,[1]Trav!B121)</f>
        <v>7.2</v>
      </c>
      <c r="N258" s="274"/>
      <c r="O258">
        <f t="shared" si="114"/>
        <v>204.82560000000001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13.276</v>
      </c>
      <c r="L259" s="190">
        <f>IF(K259&gt;[1]Trav!E121,[1]Trav!C121,[1]Trav!B121)</f>
        <v>7.2</v>
      </c>
      <c r="N259" s="274"/>
      <c r="O259">
        <f t="shared" si="114"/>
        <v>95.587199999999996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216</v>
      </c>
      <c r="D267" s="264">
        <f t="shared" si="116"/>
        <v>205</v>
      </c>
    </row>
    <row r="268" spans="1:15" x14ac:dyDescent="0.25">
      <c r="B268" s="32" t="s">
        <v>791</v>
      </c>
      <c r="C268" s="270">
        <f>Travail!F56</f>
        <v>101</v>
      </c>
      <c r="D268" s="264">
        <f t="shared" si="116"/>
        <v>96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1418</v>
      </c>
      <c r="C277" s="270">
        <f>Travail!F75+Travail!F81</f>
        <v>0</v>
      </c>
      <c r="D277" s="173">
        <f>C277</f>
        <v>0</v>
      </c>
    </row>
    <row r="278" spans="1:4" x14ac:dyDescent="0.25">
      <c r="B278" s="32" t="s">
        <v>1419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1385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1386</v>
      </c>
      <c r="C280" s="270">
        <f>Travail!F87</f>
        <v>840</v>
      </c>
      <c r="D280" s="270">
        <f>C280</f>
        <v>840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3105</v>
      </c>
      <c r="D281" s="264">
        <f>ROUND(D245+D248+D251+D254+D257+D260+D261,0)</f>
        <v>2937</v>
      </c>
    </row>
    <row r="282" spans="1:4" x14ac:dyDescent="0.25">
      <c r="B282" s="14" t="s">
        <v>1372</v>
      </c>
      <c r="C282" s="173">
        <f>ROUND(C246+C249+C252+C255+C258,0)</f>
        <v>864</v>
      </c>
      <c r="D282" s="264">
        <f>ROUND(D246+D249+D252+D255+D258,0)</f>
        <v>763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8.6999999999999993</v>
      </c>
      <c r="D284" s="173">
        <f>ROUND(D281/(Troupeau!$B$17*G63),2)</f>
        <v>8.68</v>
      </c>
    </row>
    <row r="285" spans="1:4" x14ac:dyDescent="0.25">
      <c r="B285" s="14" t="s">
        <v>1375</v>
      </c>
      <c r="C285" s="173">
        <f>IF(Troupeau!$C$17=0,0,ROUND(C282/Troupeau!$C$17,2))</f>
        <v>41.14</v>
      </c>
      <c r="D285" s="173">
        <f>IF(Troupeau!$C$17=0,0,ROUND(D282/Troupeau!$C$17*G63,2))</f>
        <v>34.450000000000003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3969</v>
      </c>
      <c r="D287" s="264">
        <f>SUM(D281:D283)</f>
        <v>3700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414</v>
      </c>
      <c r="D289" s="264">
        <f>SUM(D262:D271)</f>
        <v>399</v>
      </c>
    </row>
    <row r="290" spans="2:4" x14ac:dyDescent="0.25">
      <c r="B290" s="14" t="s">
        <v>1420</v>
      </c>
      <c r="C290" s="270">
        <f>C275+C276+C277</f>
        <v>0</v>
      </c>
      <c r="D290" s="277">
        <f>D275+D276+D277</f>
        <v>0</v>
      </c>
    </row>
    <row r="291" spans="2:4" x14ac:dyDescent="0.25">
      <c r="B291" s="14" t="s">
        <v>1421</v>
      </c>
      <c r="C291" s="270">
        <f>C278+C279+C280</f>
        <v>840</v>
      </c>
      <c r="D291" s="270">
        <f>D278+D279+D280</f>
        <v>840</v>
      </c>
    </row>
    <row r="292" spans="2:4" x14ac:dyDescent="0.25">
      <c r="B292" s="14" t="s">
        <v>873</v>
      </c>
      <c r="C292" s="173">
        <f>ROUND(SUM(C287:C291),0)</f>
        <v>5823</v>
      </c>
      <c r="D292" s="264">
        <f>ROUND(SUM(D287:D291),0)</f>
        <v>5539</v>
      </c>
    </row>
    <row r="293" spans="2:4" x14ac:dyDescent="0.25">
      <c r="B293" s="14" t="s">
        <v>874</v>
      </c>
      <c r="C293" s="173">
        <f>ROUND(IF(Scénario!$K$129=1,SUM(C275:C280),SUM(C278:C280)),0)</f>
        <v>840</v>
      </c>
      <c r="D293" s="173">
        <f>ROUND(IF(Scénario!$K$129=1,SUM(D275:D280),SUM(D278:D280)),0)</f>
        <v>840</v>
      </c>
    </row>
    <row r="294" spans="2:4" x14ac:dyDescent="0.25">
      <c r="B294" s="14" t="s">
        <v>875</v>
      </c>
      <c r="C294" s="173">
        <f>ROUND((C292-C293)/C83,0)</f>
        <v>3322</v>
      </c>
      <c r="D294" s="173">
        <f>ROUND((D292-D293)/D83,0)</f>
        <v>2350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71.652152778652194</v>
      </c>
    </row>
    <row r="299" spans="2:4" x14ac:dyDescent="0.25">
      <c r="B299" s="14" t="s">
        <v>1453</v>
      </c>
      <c r="C299" s="173">
        <f>IF(Troupeau!$B$3="OL",CdTrp1!AA221,0)</f>
        <v>45.189649515652185</v>
      </c>
    </row>
    <row r="300" spans="2:4" x14ac:dyDescent="0.25">
      <c r="B300" s="14" t="s">
        <v>1454</v>
      </c>
      <c r="C300" s="173">
        <f>IF(Troupeau!$B$3="BV",CdTrp1!AA220,0)+IF(Troupeau!$C$3="BV",CdTrp2!AA220,0)</f>
        <v>44.030486640000007</v>
      </c>
    </row>
    <row r="301" spans="2:4" x14ac:dyDescent="0.25">
      <c r="B301" s="14" t="s">
        <v>1455</v>
      </c>
      <c r="C301" s="173">
        <f>IF(Troupeau!$B$3="BV",CdTrp1!AA221,0)+IF(Troupeau!$C$3="BV",CdTrp2!AA221,0)</f>
        <v>19.530042000000002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0</v>
      </c>
    </row>
    <row r="308" spans="2:3" x14ac:dyDescent="0.25">
      <c r="B308" s="14" t="s">
        <v>1462</v>
      </c>
      <c r="C308" s="173">
        <f>'Calcul éco'!X235</f>
        <v>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52" activePane="bottomLeft" state="frozen"/>
      <selection pane="bottomLeft" activeCell="M76" sqref="M76:S77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43.18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17.514730434782606</v>
      </c>
      <c r="H65" s="61">
        <f t="shared" si="20"/>
        <v>16.949739130434782</v>
      </c>
      <c r="I65" s="61">
        <f t="shared" si="20"/>
        <v>16.949739130434782</v>
      </c>
      <c r="J65" s="61">
        <f t="shared" si="20"/>
        <v>43.78682608695653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709</v>
      </c>
      <c r="C73" s="64">
        <f t="shared" ref="C73:Y73" si="28">ROUND(SUM(C63:C72),0)</f>
        <v>702</v>
      </c>
      <c r="D73" s="64">
        <f t="shared" si="28"/>
        <v>628</v>
      </c>
      <c r="E73" s="64">
        <f t="shared" si="28"/>
        <v>328</v>
      </c>
      <c r="F73" s="64">
        <f t="shared" si="28"/>
        <v>362</v>
      </c>
      <c r="G73" s="64">
        <f t="shared" si="28"/>
        <v>343</v>
      </c>
      <c r="H73" s="64">
        <f t="shared" si="28"/>
        <v>330</v>
      </c>
      <c r="I73" s="64">
        <f t="shared" si="28"/>
        <v>328</v>
      </c>
      <c r="J73" s="64">
        <f t="shared" si="28"/>
        <v>362</v>
      </c>
      <c r="K73" s="64">
        <f t="shared" si="28"/>
        <v>369</v>
      </c>
      <c r="L73" s="64">
        <f t="shared" si="28"/>
        <v>357</v>
      </c>
      <c r="M73" s="64">
        <f t="shared" si="28"/>
        <v>42</v>
      </c>
      <c r="N73" s="64">
        <f t="shared" si="28"/>
        <v>44</v>
      </c>
      <c r="O73" s="64">
        <f t="shared" si="28"/>
        <v>44</v>
      </c>
      <c r="P73" s="64">
        <f t="shared" si="28"/>
        <v>44</v>
      </c>
      <c r="Q73" s="64">
        <f t="shared" si="28"/>
        <v>44</v>
      </c>
      <c r="R73" s="64">
        <f t="shared" si="28"/>
        <v>42</v>
      </c>
      <c r="S73" s="64">
        <f t="shared" si="28"/>
        <v>42</v>
      </c>
      <c r="T73" s="64">
        <f t="shared" si="28"/>
        <v>369</v>
      </c>
      <c r="U73" s="64">
        <f t="shared" si="28"/>
        <v>355</v>
      </c>
      <c r="V73" s="64">
        <f t="shared" si="28"/>
        <v>688</v>
      </c>
      <c r="W73" s="64">
        <f t="shared" si="28"/>
        <v>686</v>
      </c>
      <c r="X73" s="64">
        <f t="shared" si="28"/>
        <v>709</v>
      </c>
      <c r="Y73" s="64">
        <f t="shared" si="28"/>
        <v>709</v>
      </c>
      <c r="Z73" s="52"/>
      <c r="AA73" s="56">
        <f>ROUND(SUM(B73:Y73),0)</f>
        <v>8636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4</v>
      </c>
      <c r="N76" s="60">
        <v>4</v>
      </c>
      <c r="O76" s="60">
        <v>4</v>
      </c>
      <c r="P76" s="60">
        <v>4</v>
      </c>
      <c r="Q76" s="60">
        <v>4</v>
      </c>
      <c r="R76" s="60">
        <v>4</v>
      </c>
      <c r="S76" s="60">
        <v>4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4</v>
      </c>
      <c r="N77" s="60">
        <v>4</v>
      </c>
      <c r="O77" s="60">
        <v>4</v>
      </c>
      <c r="P77" s="60">
        <v>4</v>
      </c>
      <c r="Q77" s="60">
        <v>4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447</v>
      </c>
      <c r="AC77">
        <f>COUNTIF($B$76:$Y$85,"&gt;0")/2</f>
        <v>36.5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15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7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4.209827134434784</v>
      </c>
      <c r="H136" s="61">
        <f t="shared" si="51"/>
        <v>4.0529173147826096</v>
      </c>
      <c r="I136" s="61">
        <f t="shared" si="51"/>
        <v>4.031808370434784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1.2669995191304348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120.38897394482613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0.76276651043478261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3.0249916930434781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0.13136047826086961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0.13136047826086961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123.54532611613048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135.89985872774355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6.314740701652175</v>
      </c>
      <c r="H149" s="61">
        <f t="shared" si="55"/>
        <v>6.0793759721739136</v>
      </c>
      <c r="I149" s="61">
        <f t="shared" si="55"/>
        <v>6.0477125556521765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5.0679980765217403</v>
      </c>
      <c r="M149" s="61">
        <f t="shared" si="55"/>
        <v>6.3349975956521751</v>
      </c>
      <c r="N149" s="61">
        <f t="shared" si="55"/>
        <v>6.5461641821739143</v>
      </c>
      <c r="O149" s="61">
        <f t="shared" si="55"/>
        <v>6.5461641821739143</v>
      </c>
      <c r="P149" s="61">
        <f t="shared" si="55"/>
        <v>6.5461641821739143</v>
      </c>
      <c r="Q149" s="61">
        <f t="shared" si="55"/>
        <v>6.5461641821739143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0.41131366956521737</v>
      </c>
      <c r="E151" s="61">
        <f t="shared" si="57"/>
        <v>0.41131366956521737</v>
      </c>
      <c r="F151" s="61">
        <f t="shared" si="57"/>
        <v>0.45538299130434778</v>
      </c>
      <c r="G151" s="61">
        <f t="shared" si="57"/>
        <v>0.45538299130434778</v>
      </c>
      <c r="H151" s="61">
        <f t="shared" si="57"/>
        <v>0.44069321739130435</v>
      </c>
      <c r="I151" s="61">
        <f t="shared" si="57"/>
        <v>0.44069321739130435</v>
      </c>
      <c r="J151" s="61">
        <f t="shared" si="57"/>
        <v>1.1384574782608696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0.37569096782608702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0.26272095652173921</v>
      </c>
      <c r="C152" s="61">
        <f t="shared" si="58"/>
        <v>0.26272095652173921</v>
      </c>
      <c r="D152" s="61">
        <f t="shared" si="58"/>
        <v>0.23729634782608697</v>
      </c>
      <c r="E152" s="61">
        <f t="shared" si="58"/>
        <v>0.23729634782608697</v>
      </c>
      <c r="F152" s="61">
        <f t="shared" si="58"/>
        <v>0.26272095652173921</v>
      </c>
      <c r="G152" s="61">
        <f t="shared" si="58"/>
        <v>0.26272095652173921</v>
      </c>
      <c r="H152" s="61">
        <f t="shared" si="58"/>
        <v>0.25424608695652179</v>
      </c>
      <c r="I152" s="61">
        <f t="shared" si="58"/>
        <v>0.25424608695652179</v>
      </c>
      <c r="J152" s="61">
        <f t="shared" si="58"/>
        <v>0.13136047826086961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0.26272095652173921</v>
      </c>
      <c r="V152" s="61">
        <f t="shared" si="58"/>
        <v>0.25424608695652179</v>
      </c>
      <c r="W152" s="61">
        <f t="shared" si="58"/>
        <v>0.25424608695652179</v>
      </c>
      <c r="X152" s="61">
        <f t="shared" si="58"/>
        <v>0.26272095652173921</v>
      </c>
      <c r="Y152" s="61">
        <f t="shared" si="58"/>
        <v>0.26272095652173921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116.84180229430434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6.314740701652175</v>
      </c>
      <c r="H162" s="61">
        <f t="shared" si="65"/>
        <v>6.0793759721739136</v>
      </c>
      <c r="I162" s="61">
        <f t="shared" si="65"/>
        <v>6.0477125556521765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5.0679980765217403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0.41131366956521737</v>
      </c>
      <c r="E164" s="61">
        <f t="shared" si="67"/>
        <v>0.41131366956521737</v>
      </c>
      <c r="F164" s="61">
        <f t="shared" si="67"/>
        <v>0.45538299130434778</v>
      </c>
      <c r="G164" s="61">
        <f t="shared" si="67"/>
        <v>0.45538299130434778</v>
      </c>
      <c r="H164" s="61">
        <f t="shared" si="67"/>
        <v>0.44069321739130435</v>
      </c>
      <c r="I164" s="61">
        <f t="shared" si="67"/>
        <v>0.44069321739130435</v>
      </c>
      <c r="J164" s="61">
        <f t="shared" si="67"/>
        <v>1.1384574782608696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0.37569096782608702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0.13136047826086961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0.41131366956521737</v>
      </c>
      <c r="E172" s="61">
        <f t="shared" si="75"/>
        <v>0.41131366956521737</v>
      </c>
      <c r="F172" s="61">
        <f t="shared" si="75"/>
        <v>0.45538299130434778</v>
      </c>
      <c r="G172" s="61">
        <f t="shared" si="75"/>
        <v>6.7701236929565232</v>
      </c>
      <c r="H172" s="61">
        <f t="shared" si="75"/>
        <v>6.5200691895652181</v>
      </c>
      <c r="I172" s="61">
        <f t="shared" si="75"/>
        <v>6.488405773043481</v>
      </c>
      <c r="J172" s="61">
        <f t="shared" si="75"/>
        <v>7.4536832032173921</v>
      </c>
      <c r="K172" s="61">
        <f t="shared" si="75"/>
        <v>6.3753888240000016</v>
      </c>
      <c r="L172" s="61">
        <f t="shared" si="75"/>
        <v>6.1697311200000016</v>
      </c>
      <c r="M172" s="61">
        <f t="shared" si="75"/>
        <v>1.1017330434782608</v>
      </c>
      <c r="N172" s="61">
        <f t="shared" si="75"/>
        <v>1.1384574782608696</v>
      </c>
      <c r="O172" s="61">
        <f t="shared" si="75"/>
        <v>1.1384574782608696</v>
      </c>
      <c r="P172" s="61">
        <f t="shared" si="75"/>
        <v>1.1384574782608696</v>
      </c>
      <c r="Q172" s="61">
        <f t="shared" si="75"/>
        <v>1.1384574782608696</v>
      </c>
      <c r="R172" s="61">
        <f t="shared" si="75"/>
        <v>1.1017330434782608</v>
      </c>
      <c r="S172" s="61">
        <f t="shared" si="75"/>
        <v>1.1017330434782608</v>
      </c>
      <c r="T172" s="61">
        <f t="shared" si="75"/>
        <v>2.9467018258695652</v>
      </c>
      <c r="U172" s="61">
        <f t="shared" si="75"/>
        <v>5.0814611673913053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56.942604169956525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0.83194969565217392</v>
      </c>
      <c r="C176" s="61">
        <f t="shared" si="77"/>
        <v>0.83194969565217392</v>
      </c>
      <c r="D176" s="61">
        <f t="shared" si="77"/>
        <v>0.75143843478260874</v>
      </c>
      <c r="E176" s="61">
        <f t="shared" si="77"/>
        <v>0.75143843478260874</v>
      </c>
      <c r="F176" s="61">
        <f t="shared" si="77"/>
        <v>0.83194969565217392</v>
      </c>
      <c r="G176" s="61">
        <f t="shared" si="77"/>
        <v>0.83194969565217392</v>
      </c>
      <c r="H176" s="61">
        <f t="shared" si="77"/>
        <v>0.80511260869565215</v>
      </c>
      <c r="I176" s="61">
        <f t="shared" si="77"/>
        <v>0.80511260869565215</v>
      </c>
      <c r="J176" s="61">
        <f t="shared" si="77"/>
        <v>0.83194969565217392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0.83194969565217392</v>
      </c>
      <c r="V176" s="61">
        <f t="shared" si="77"/>
        <v>0.80511260869565215</v>
      </c>
      <c r="W176" s="61">
        <f t="shared" si="77"/>
        <v>0.80511260869565215</v>
      </c>
      <c r="X176" s="61">
        <f t="shared" si="77"/>
        <v>0.83194969565217392</v>
      </c>
      <c r="Y176" s="61">
        <f t="shared" si="77"/>
        <v>0.83194969565217392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0.26272095652173921</v>
      </c>
      <c r="C178" s="61">
        <f t="shared" si="79"/>
        <v>0.26272095652173921</v>
      </c>
      <c r="D178" s="61">
        <f t="shared" si="79"/>
        <v>0.23729634782608697</v>
      </c>
      <c r="E178" s="61">
        <f t="shared" si="79"/>
        <v>0.23729634782608697</v>
      </c>
      <c r="F178" s="61">
        <f t="shared" si="79"/>
        <v>0.26272095652173921</v>
      </c>
      <c r="G178" s="61">
        <f t="shared" si="79"/>
        <v>0.26272095652173921</v>
      </c>
      <c r="H178" s="61">
        <f t="shared" si="79"/>
        <v>0.25424608695652179</v>
      </c>
      <c r="I178" s="61">
        <f t="shared" si="79"/>
        <v>0.25424608695652179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0.26272095652173921</v>
      </c>
      <c r="V178" s="61">
        <f t="shared" si="79"/>
        <v>0.25424608695652179</v>
      </c>
      <c r="W178" s="61">
        <f t="shared" si="79"/>
        <v>0.25424608695652179</v>
      </c>
      <c r="X178" s="61">
        <f t="shared" si="79"/>
        <v>0.26272095652173921</v>
      </c>
      <c r="Y178" s="61">
        <f t="shared" si="79"/>
        <v>0.26272095652173921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1.0946706521739131</v>
      </c>
      <c r="C185" s="61">
        <f>SUM(CdTrp1!C175:C184)</f>
        <v>1.0946706521739131</v>
      </c>
      <c r="D185" s="61">
        <f>SUM(CdTrp1!D175:D184)</f>
        <v>0.98873478260869574</v>
      </c>
      <c r="E185" s="61">
        <f>SUM(CdTrp1!E175:E184)</f>
        <v>0.98873478260869574</v>
      </c>
      <c r="F185" s="61">
        <f>SUM(CdTrp1!F175:F184)</f>
        <v>1.0946706521739131</v>
      </c>
      <c r="G185" s="61">
        <f>SUM(CdTrp1!G175:G184)</f>
        <v>1.0946706521739131</v>
      </c>
      <c r="H185" s="61">
        <f>SUM(CdTrp1!H175:H184)</f>
        <v>1.0593586956521739</v>
      </c>
      <c r="I185" s="61">
        <f>SUM(CdTrp1!I175:I184)</f>
        <v>1.0593586956521739</v>
      </c>
      <c r="J185" s="61">
        <f>SUM(CdTrp1!J175:J184)</f>
        <v>0.83194969565217392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1.0946706521739131</v>
      </c>
      <c r="V185" s="61">
        <f>SUM(CdTrp1!V175:V184)</f>
        <v>1.0593586956521739</v>
      </c>
      <c r="W185" s="61">
        <f>SUM(CdTrp1!W175:W184)</f>
        <v>1.0593586956521739</v>
      </c>
      <c r="X185" s="61">
        <f>SUM(CdTrp1!X175:X184)</f>
        <v>1.0946706521739131</v>
      </c>
      <c r="Y185" s="61">
        <f>SUM(CdTrp1!Y175:Y184)</f>
        <v>1.0946706521739131</v>
      </c>
      <c r="AA185" s="64">
        <f>SUM(B185:Y185)</f>
        <v>14.709548608695654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6.3349975956521751</v>
      </c>
      <c r="N201" s="61">
        <f t="shared" si="97"/>
        <v>6.5461641821739143</v>
      </c>
      <c r="O201" s="61">
        <f t="shared" si="97"/>
        <v>6.5461641821739143</v>
      </c>
      <c r="P201" s="61">
        <f t="shared" si="97"/>
        <v>6.5461641821739143</v>
      </c>
      <c r="Q201" s="61">
        <f t="shared" si="97"/>
        <v>6.5461641821739143</v>
      </c>
      <c r="R201" s="61">
        <f t="shared" si="97"/>
        <v>6.3349975956521751</v>
      </c>
      <c r="S201" s="61">
        <f t="shared" si="97"/>
        <v>6.3349975956521751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6.3349975956521751</v>
      </c>
      <c r="N211" s="61">
        <f t="shared" si="107"/>
        <v>6.5461641821739143</v>
      </c>
      <c r="O211" s="61">
        <f t="shared" si="107"/>
        <v>6.5461641821739143</v>
      </c>
      <c r="P211" s="61">
        <f t="shared" si="107"/>
        <v>6.5461641821739143</v>
      </c>
      <c r="Q211" s="61">
        <f t="shared" si="107"/>
        <v>6.5461641821739143</v>
      </c>
      <c r="R211" s="61">
        <f t="shared" si="107"/>
        <v>6.3349975956521751</v>
      </c>
      <c r="S211" s="61">
        <f t="shared" si="107"/>
        <v>6.3349975956521751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45.189649515652185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0.41131366956521737</v>
      </c>
      <c r="E215" s="61">
        <f t="shared" si="108"/>
        <v>0.41131366956521737</v>
      </c>
      <c r="F215" s="61">
        <f t="shared" si="108"/>
        <v>0.45538299130434778</v>
      </c>
      <c r="G215" s="61">
        <f t="shared" si="108"/>
        <v>6.7701236929565232</v>
      </c>
      <c r="H215" s="61">
        <f t="shared" si="108"/>
        <v>6.5200691895652181</v>
      </c>
      <c r="I215" s="61">
        <f t="shared" si="108"/>
        <v>6.488405773043481</v>
      </c>
      <c r="J215" s="61">
        <f t="shared" si="108"/>
        <v>7.4536832032173921</v>
      </c>
      <c r="K215" s="61">
        <f t="shared" si="108"/>
        <v>6.3753888240000016</v>
      </c>
      <c r="L215" s="61">
        <f t="shared" si="108"/>
        <v>6.1697311200000016</v>
      </c>
      <c r="M215" s="61">
        <f t="shared" si="108"/>
        <v>1.1017330434782608</v>
      </c>
      <c r="N215" s="61">
        <f t="shared" si="108"/>
        <v>1.1384574782608696</v>
      </c>
      <c r="O215" s="61">
        <f t="shared" si="108"/>
        <v>1.1384574782608696</v>
      </c>
      <c r="P215" s="61">
        <f t="shared" si="108"/>
        <v>1.1384574782608696</v>
      </c>
      <c r="Q215" s="61">
        <f t="shared" si="108"/>
        <v>1.1384574782608696</v>
      </c>
      <c r="R215" s="61">
        <f t="shared" si="108"/>
        <v>1.1017330434782608</v>
      </c>
      <c r="S215" s="61">
        <f t="shared" si="108"/>
        <v>1.1017330434782608</v>
      </c>
      <c r="T215" s="61">
        <f t="shared" si="108"/>
        <v>2.9467018258695652</v>
      </c>
      <c r="U215" s="61">
        <f t="shared" si="108"/>
        <v>5.0814611673913053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1.0946706521739131</v>
      </c>
      <c r="C216" s="61">
        <f t="shared" ref="C216:Y216" si="109">C185</f>
        <v>1.0946706521739131</v>
      </c>
      <c r="D216" s="61">
        <f t="shared" si="109"/>
        <v>0.98873478260869574</v>
      </c>
      <c r="E216" s="61">
        <f t="shared" si="109"/>
        <v>0.98873478260869574</v>
      </c>
      <c r="F216" s="61">
        <f t="shared" si="109"/>
        <v>1.0946706521739131</v>
      </c>
      <c r="G216" s="61">
        <f t="shared" si="109"/>
        <v>1.0946706521739131</v>
      </c>
      <c r="H216" s="61">
        <f t="shared" si="109"/>
        <v>1.0593586956521739</v>
      </c>
      <c r="I216" s="61">
        <f t="shared" si="109"/>
        <v>1.0593586956521739</v>
      </c>
      <c r="J216" s="61">
        <f t="shared" si="109"/>
        <v>0.83194969565217392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1.0946706521739131</v>
      </c>
      <c r="V216" s="61">
        <f t="shared" si="109"/>
        <v>1.0593586956521739</v>
      </c>
      <c r="W216" s="61">
        <f t="shared" si="109"/>
        <v>1.0593586956521739</v>
      </c>
      <c r="X216" s="61">
        <f t="shared" si="109"/>
        <v>1.0946706521739131</v>
      </c>
      <c r="Y216" s="61">
        <f t="shared" si="109"/>
        <v>1.0946706521739131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6.3349975956521751</v>
      </c>
      <c r="N218" s="61">
        <f t="shared" si="111"/>
        <v>6.5461641821739143</v>
      </c>
      <c r="O218" s="61">
        <f t="shared" si="111"/>
        <v>6.5461641821739143</v>
      </c>
      <c r="P218" s="61">
        <f t="shared" si="111"/>
        <v>6.5461641821739143</v>
      </c>
      <c r="Q218" s="61">
        <f t="shared" si="111"/>
        <v>6.5461641821739143</v>
      </c>
      <c r="R218" s="61">
        <f t="shared" si="111"/>
        <v>6.3349975956521751</v>
      </c>
      <c r="S218" s="61">
        <f t="shared" si="111"/>
        <v>6.3349975956521751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116.84180229430434</v>
      </c>
      <c r="AB219" t="s">
        <v>222</v>
      </c>
    </row>
    <row r="220" spans="1:28" x14ac:dyDescent="0.25">
      <c r="AA220" s="30">
        <f>SUM(B215:Y217)</f>
        <v>71.652152778652194</v>
      </c>
      <c r="AB220" t="s">
        <v>223</v>
      </c>
    </row>
    <row r="221" spans="1:28" x14ac:dyDescent="0.25">
      <c r="AA221" s="30">
        <f>SUM(B218:Y218)</f>
        <v>45.189649515652185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8" activePane="bottomLeft" state="frozen"/>
      <selection pane="bottomLeft" activeCell="T82" sqref="T8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4</v>
      </c>
      <c r="M76" s="60">
        <v>4</v>
      </c>
      <c r="N76" s="60">
        <v>4</v>
      </c>
      <c r="O76" s="60">
        <v>4</v>
      </c>
      <c r="P76" s="60">
        <v>4</v>
      </c>
      <c r="Q76" s="60">
        <v>4</v>
      </c>
      <c r="R76" s="60">
        <v>4</v>
      </c>
      <c r="S76" s="60">
        <v>4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4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28.997678259199994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39.388432059199985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41.357853662159989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2.5455402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2.5758442500000003</v>
      </c>
      <c r="R149" s="61">
        <f t="shared" si="37"/>
        <v>2.1205799999999999</v>
      </c>
      <c r="S149" s="61">
        <f t="shared" si="37"/>
        <v>2.1205799999999999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63.560528640000037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1.4338144800000001</v>
      </c>
      <c r="U162" s="61">
        <f t="shared" si="47"/>
        <v>1.47318696</v>
      </c>
      <c r="V162" s="61">
        <f t="shared" si="47"/>
        <v>1.5450875999999998</v>
      </c>
      <c r="W162" s="61">
        <f t="shared" si="47"/>
        <v>1.5752519999999999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0.11466</v>
      </c>
      <c r="I163" s="61">
        <f t="shared" si="48"/>
        <v>0.17198999999999998</v>
      </c>
      <c r="J163" s="61">
        <f t="shared" si="48"/>
        <v>0.17772299999999996</v>
      </c>
      <c r="K163" s="61">
        <f t="shared" si="48"/>
        <v>0.17772299999999996</v>
      </c>
      <c r="L163" s="61">
        <f t="shared" si="48"/>
        <v>0.17198999999999998</v>
      </c>
      <c r="M163" s="61">
        <f t="shared" si="48"/>
        <v>0.17198999999999998</v>
      </c>
      <c r="N163" s="61">
        <f t="shared" si="48"/>
        <v>0.17772299999999996</v>
      </c>
      <c r="O163" s="61">
        <f t="shared" si="48"/>
        <v>0.17772299999999996</v>
      </c>
      <c r="P163" s="61">
        <f t="shared" si="48"/>
        <v>0.17772299999999996</v>
      </c>
      <c r="Q163" s="61">
        <f t="shared" si="48"/>
        <v>0.17772299999999996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1.4217839999999997</v>
      </c>
      <c r="V164" s="61">
        <f t="shared" si="49"/>
        <v>1.3759199999999998</v>
      </c>
      <c r="W164" s="61">
        <f t="shared" si="49"/>
        <v>1.3759199999999998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2.7129879000000003</v>
      </c>
      <c r="I172" s="61">
        <f t="shared" si="57"/>
        <v>0.17198999999999998</v>
      </c>
      <c r="J172" s="61">
        <f t="shared" si="57"/>
        <v>0.17772299999999996</v>
      </c>
      <c r="K172" s="61">
        <f t="shared" si="57"/>
        <v>0.17772299999999996</v>
      </c>
      <c r="L172" s="61">
        <f t="shared" si="57"/>
        <v>0.17198999999999998</v>
      </c>
      <c r="M172" s="61">
        <f t="shared" si="57"/>
        <v>0.17198999999999998</v>
      </c>
      <c r="N172" s="61">
        <f t="shared" si="57"/>
        <v>0.17772299999999996</v>
      </c>
      <c r="O172" s="61">
        <f t="shared" si="57"/>
        <v>0.17772299999999996</v>
      </c>
      <c r="P172" s="61">
        <f t="shared" si="57"/>
        <v>0.17772299999999996</v>
      </c>
      <c r="Q172" s="61">
        <f t="shared" si="57"/>
        <v>0.17772299999999996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1.5819169800000001</v>
      </c>
      <c r="U172" s="61">
        <f t="shared" si="57"/>
        <v>3.0430734599999996</v>
      </c>
      <c r="V172" s="61">
        <f t="shared" si="57"/>
        <v>2.9783375999999997</v>
      </c>
      <c r="W172" s="61">
        <f t="shared" si="57"/>
        <v>2.9798369999999998</v>
      </c>
      <c r="X172" s="61">
        <f t="shared" si="57"/>
        <v>0</v>
      </c>
      <c r="Y172" s="61">
        <f t="shared" si="57"/>
        <v>0</v>
      </c>
      <c r="AA172" s="64">
        <f>SUM(B172:Y172)</f>
        <v>15.222440939999998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2.5455402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1.3759199999999998</v>
      </c>
      <c r="I185" s="61">
        <f>SUM(CdTrp2!I175:I184)</f>
        <v>3.9214601999999998</v>
      </c>
      <c r="J185" s="61">
        <f>SUM(CdTrp2!J175:J184)</f>
        <v>3.99762825</v>
      </c>
      <c r="K185" s="61">
        <f>SUM(CdTrp2!K175:K184)</f>
        <v>3.99762825</v>
      </c>
      <c r="L185" s="61">
        <f>SUM(CdTrp2!L175:L184)</f>
        <v>1.3759199999999998</v>
      </c>
      <c r="M185" s="61">
        <f>SUM(CdTrp2!M175:M184)</f>
        <v>1.3759199999999998</v>
      </c>
      <c r="N185" s="61">
        <f>SUM(CdTrp2!N175:N184)</f>
        <v>1.4217839999999997</v>
      </c>
      <c r="O185" s="61">
        <f>SUM(CdTrp2!O175:O184)</f>
        <v>1.4217839999999997</v>
      </c>
      <c r="P185" s="61">
        <f>SUM(CdTrp2!P175:P184)</f>
        <v>1.4217839999999997</v>
      </c>
      <c r="Q185" s="61">
        <f>SUM(CdTrp2!Q175:Q184)</f>
        <v>1.4217839999999997</v>
      </c>
      <c r="R185" s="61">
        <f>SUM(CdTrp2!R175:R184)</f>
        <v>1.3759199999999998</v>
      </c>
      <c r="S185" s="61">
        <f>SUM(CdTrp2!S175:S184)</f>
        <v>1.3759199999999998</v>
      </c>
      <c r="T185" s="61">
        <f>SUM(CdTrp2!T175:T184)</f>
        <v>1.4217839999999997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28.808045699999997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2.4927524999999999</v>
      </c>
      <c r="M201" s="61">
        <f t="shared" si="79"/>
        <v>2.4927524999999999</v>
      </c>
      <c r="N201" s="61">
        <f t="shared" si="79"/>
        <v>2.5758442500000003</v>
      </c>
      <c r="O201" s="61">
        <f t="shared" si="79"/>
        <v>2.5758442500000003</v>
      </c>
      <c r="P201" s="61">
        <f t="shared" si="79"/>
        <v>2.5758442500000003</v>
      </c>
      <c r="Q201" s="61">
        <f t="shared" si="79"/>
        <v>2.5758442500000003</v>
      </c>
      <c r="R201" s="61">
        <f t="shared" si="79"/>
        <v>2.1205799999999999</v>
      </c>
      <c r="S201" s="61">
        <f t="shared" si="79"/>
        <v>2.1205799999999999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2.4927524999999999</v>
      </c>
      <c r="M211" s="61">
        <f t="shared" si="89"/>
        <v>2.4927524999999999</v>
      </c>
      <c r="N211" s="61">
        <f t="shared" si="89"/>
        <v>2.5758442500000003</v>
      </c>
      <c r="O211" s="61">
        <f t="shared" si="89"/>
        <v>2.5758442500000003</v>
      </c>
      <c r="P211" s="61">
        <f t="shared" si="89"/>
        <v>2.5758442500000003</v>
      </c>
      <c r="Q211" s="61">
        <f t="shared" si="89"/>
        <v>2.5758442500000003</v>
      </c>
      <c r="R211" s="61">
        <f t="shared" si="89"/>
        <v>2.1205799999999999</v>
      </c>
      <c r="S211" s="61">
        <f t="shared" si="89"/>
        <v>2.1205799999999999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19.530042000000002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2.7129879000000003</v>
      </c>
      <c r="I215" s="61">
        <f t="shared" si="90"/>
        <v>0.17198999999999998</v>
      </c>
      <c r="J215" s="61">
        <f t="shared" si="90"/>
        <v>0.17772299999999996</v>
      </c>
      <c r="K215" s="61">
        <f t="shared" si="90"/>
        <v>0.17772299999999996</v>
      </c>
      <c r="L215" s="61">
        <f t="shared" si="90"/>
        <v>0.17198999999999998</v>
      </c>
      <c r="M215" s="61">
        <f t="shared" si="90"/>
        <v>0.17198999999999998</v>
      </c>
      <c r="N215" s="61">
        <f t="shared" si="90"/>
        <v>0.17772299999999996</v>
      </c>
      <c r="O215" s="61">
        <f t="shared" si="90"/>
        <v>0.17772299999999996</v>
      </c>
      <c r="P215" s="61">
        <f t="shared" si="90"/>
        <v>0.17772299999999996</v>
      </c>
      <c r="Q215" s="61">
        <f t="shared" si="90"/>
        <v>0.17772299999999996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1.5819169800000001</v>
      </c>
      <c r="U215" s="61">
        <f t="shared" si="90"/>
        <v>3.0430734599999996</v>
      </c>
      <c r="V215" s="61">
        <f t="shared" si="90"/>
        <v>2.9783375999999997</v>
      </c>
      <c r="W215" s="61">
        <f t="shared" si="90"/>
        <v>2.9798369999999998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1.3759199999999998</v>
      </c>
      <c r="I216" s="61">
        <f t="shared" si="91"/>
        <v>3.9214601999999998</v>
      </c>
      <c r="J216" s="61">
        <f t="shared" si="91"/>
        <v>3.99762825</v>
      </c>
      <c r="K216" s="61">
        <f t="shared" si="91"/>
        <v>3.99762825</v>
      </c>
      <c r="L216" s="61">
        <f t="shared" si="91"/>
        <v>1.3759199999999998</v>
      </c>
      <c r="M216" s="61">
        <f t="shared" si="91"/>
        <v>1.3759199999999998</v>
      </c>
      <c r="N216" s="61">
        <f t="shared" si="91"/>
        <v>1.4217839999999997</v>
      </c>
      <c r="O216" s="61">
        <f t="shared" si="91"/>
        <v>1.4217839999999997</v>
      </c>
      <c r="P216" s="61">
        <f t="shared" si="91"/>
        <v>1.4217839999999997</v>
      </c>
      <c r="Q216" s="61">
        <f t="shared" si="91"/>
        <v>1.4217839999999997</v>
      </c>
      <c r="R216" s="61">
        <f t="shared" si="91"/>
        <v>1.3759199999999998</v>
      </c>
      <c r="S216" s="61">
        <f t="shared" si="91"/>
        <v>1.3759199999999998</v>
      </c>
      <c r="T216" s="61">
        <f t="shared" si="91"/>
        <v>1.4217839999999997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2.4927524999999999</v>
      </c>
      <c r="M218" s="61">
        <f t="shared" si="93"/>
        <v>2.4927524999999999</v>
      </c>
      <c r="N218" s="61">
        <f t="shared" si="93"/>
        <v>2.5758442500000003</v>
      </c>
      <c r="O218" s="61">
        <f t="shared" si="93"/>
        <v>2.5758442500000003</v>
      </c>
      <c r="P218" s="61">
        <f t="shared" si="93"/>
        <v>2.5758442500000003</v>
      </c>
      <c r="Q218" s="61">
        <f t="shared" si="93"/>
        <v>2.5758442500000003</v>
      </c>
      <c r="R218" s="61">
        <f t="shared" si="93"/>
        <v>2.1205799999999999</v>
      </c>
      <c r="S218" s="61">
        <f t="shared" si="93"/>
        <v>2.1205799999999999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63.560528640000015</v>
      </c>
      <c r="AB219" t="s">
        <v>222</v>
      </c>
    </row>
    <row r="220" spans="1:28" x14ac:dyDescent="0.25">
      <c r="AA220" s="30">
        <f>SUM(B215:Y217)</f>
        <v>44.030486640000007</v>
      </c>
      <c r="AB220" t="s">
        <v>223</v>
      </c>
    </row>
    <row r="221" spans="1:28" x14ac:dyDescent="0.25">
      <c r="AA221" s="30">
        <f>SUM(B218:Y218)</f>
        <v>19.530042000000002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2023-01-09T10:32:30Z</dcterms:modified>
</cp:coreProperties>
</file>