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5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41" r:id="rId19"/>
  </pivotCaches>
</workbook>
</file>

<file path=xl/calcChain.xml><?xml version="1.0" encoding="utf-8"?>
<calcChain xmlns="http://schemas.openxmlformats.org/spreadsheetml/2006/main">
  <c r="A30" i="24" l="1"/>
  <c r="S51" i="31" l="1"/>
  <c r="AV5" i="29" l="1"/>
  <c r="AW5" i="29"/>
  <c r="AX5" i="29"/>
  <c r="AY5" i="29"/>
  <c r="AZ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AV7" i="29"/>
  <c r="AW7" i="29"/>
  <c r="AX7" i="29"/>
  <c r="AY7" i="29"/>
  <c r="BD7" i="29" s="1"/>
  <c r="BE7" i="29" s="1"/>
  <c r="BF7" i="29" s="1"/>
  <c r="AZ7" i="29"/>
  <c r="AV8" i="29"/>
  <c r="AW8" i="29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AZ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 s="1"/>
  <c r="BF30" i="29" s="1"/>
  <c r="BG12" i="29" l="1"/>
  <c r="BD8" i="29"/>
  <c r="BE8" i="29" s="1"/>
  <c r="BF8" i="29" s="1"/>
  <c r="BL8" i="29" s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J8" i="29" l="1"/>
  <c r="BI8" i="29"/>
  <c r="BH8" i="29"/>
  <c r="BK8" i="29"/>
  <c r="BG8" i="29"/>
  <c r="BJ25" i="29"/>
  <c r="BI9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BA10" i="29" s="1"/>
  <c r="R9" i="7"/>
  <c r="S9" i="7"/>
  <c r="BA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S154" i="33"/>
  <c r="CR154" i="33"/>
  <c r="CM154" i="33"/>
  <c r="CK154" i="33"/>
  <c r="CJ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O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W93" i="30" s="1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I93" i="30" s="1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W91" i="30" s="1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O91" i="30" s="1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T18" i="30" s="1"/>
  <c r="CT63" i="30" s="1"/>
  <c r="CT109" i="30" s="1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K7" i="30"/>
  <c r="CJ7" i="30"/>
  <c r="CJ18" i="30" s="1"/>
  <c r="CJ63" i="30" s="1"/>
  <c r="CJ109" i="30" s="1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D18" i="30" s="1"/>
  <c r="CD63" i="30" s="1"/>
  <c r="CD109" i="30" s="1"/>
  <c r="CC7" i="30"/>
  <c r="CB7" i="30"/>
  <c r="CB18" i="30" s="1"/>
  <c r="CB63" i="30" s="1"/>
  <c r="CB109" i="30" s="1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BA93" i="30" s="1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H90" i="30" s="1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V93" i="30"/>
  <c r="CT93" i="30"/>
  <c r="CQ93" i="30"/>
  <c r="CP93" i="30"/>
  <c r="CO93" i="30"/>
  <c r="CN93" i="30"/>
  <c r="CL93" i="30"/>
  <c r="CJ93" i="30"/>
  <c r="CH93" i="30"/>
  <c r="CG93" i="30"/>
  <c r="CF93" i="30"/>
  <c r="CD93" i="30"/>
  <c r="BS93" i="30"/>
  <c r="BR93" i="30"/>
  <c r="BP93" i="30"/>
  <c r="BO93" i="30"/>
  <c r="BM93" i="30"/>
  <c r="BK93" i="30"/>
  <c r="BI93" i="30"/>
  <c r="BH93" i="30"/>
  <c r="BG93" i="30"/>
  <c r="BE93" i="30"/>
  <c r="BB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T91" i="30"/>
  <c r="CQ91" i="30"/>
  <c r="CP91" i="30"/>
  <c r="CN91" i="30"/>
  <c r="CL91" i="30"/>
  <c r="CI91" i="30"/>
  <c r="CF91" i="30"/>
  <c r="CD91" i="30"/>
  <c r="BS91" i="30"/>
  <c r="BR91" i="30"/>
  <c r="BQ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AX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L18" i="30"/>
  <c r="CL63" i="30" s="1"/>
  <c r="CL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Y109" i="30" s="1"/>
  <c r="CW18" i="30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I18" i="30"/>
  <c r="CG18" i="30"/>
  <c r="CE18" i="30"/>
  <c r="CE63" i="30" s="1"/>
  <c r="CE109" i="30" s="1"/>
  <c r="CC18" i="30"/>
  <c r="CC63" i="30" s="1"/>
  <c r="CC109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C29" i="29" l="1"/>
  <c r="G73" i="30"/>
  <c r="K29" i="29"/>
  <c r="O73" i="30"/>
  <c r="CW63" i="30"/>
  <c r="CW109" i="30" s="1"/>
  <c r="CI63" i="30"/>
  <c r="CI109" i="30" s="1"/>
  <c r="CG63" i="30"/>
  <c r="CG109" i="30" s="1"/>
  <c r="C113" i="29"/>
  <c r="C20" i="29"/>
  <c r="T171" i="28"/>
  <c r="Z171" i="28"/>
  <c r="X171" i="28"/>
  <c r="Y171" i="28"/>
  <c r="Z171" i="31"/>
  <c r="AC171" i="31" s="1"/>
  <c r="T171" i="31"/>
  <c r="X171" i="31"/>
  <c r="AA171" i="31" s="1"/>
  <c r="Y171" i="31"/>
  <c r="AB171" i="31" s="1"/>
  <c r="S3" i="29"/>
  <c r="AY27" i="30"/>
  <c r="BD27" i="30"/>
  <c r="BF27" i="30"/>
  <c r="BG27" i="30"/>
  <c r="BL27" i="30"/>
  <c r="BN27" i="30"/>
  <c r="AV27" i="30"/>
  <c r="AV72" i="30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AA166" i="28" s="1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AA187" i="31" s="1"/>
  <c r="Z191" i="31"/>
  <c r="AC191" i="31" s="1"/>
  <c r="Y191" i="31"/>
  <c r="AB191" i="31" s="1"/>
  <c r="T191" i="31"/>
  <c r="X191" i="31"/>
  <c r="AA191" i="31" s="1"/>
  <c r="Z187" i="28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Z189" i="3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Y198" i="31"/>
  <c r="T198" i="31"/>
  <c r="X198" i="31"/>
  <c r="AA198" i="31" s="1"/>
  <c r="T198" i="28"/>
  <c r="AJ198" i="28" s="1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J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W172" i="31" s="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20" i="29"/>
  <c r="AC171" i="28"/>
  <c r="AB171" i="28"/>
  <c r="AA171" i="28"/>
  <c r="V189" i="31"/>
  <c r="AC189" i="31"/>
  <c r="AC166" i="31"/>
  <c r="K113" i="31"/>
  <c r="AA186" i="28"/>
  <c r="AC187" i="28"/>
  <c r="AC187" i="31"/>
  <c r="AC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76" i="31"/>
  <c r="AA176" i="31"/>
  <c r="AJ176" i="31"/>
  <c r="AC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C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O72" i="30" s="1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AA72" i="30" s="1"/>
  <c r="G26" i="29"/>
  <c r="G30" i="29" s="1"/>
  <c r="G25" i="29"/>
  <c r="O26" i="29"/>
  <c r="O30" i="29" s="1"/>
  <c r="O25" i="29"/>
  <c r="W26" i="29"/>
  <c r="W30" i="29" s="1"/>
  <c r="W25" i="29"/>
  <c r="P5" i="29"/>
  <c r="P9" i="29" s="1"/>
  <c r="P20" i="29"/>
  <c r="P21" i="29" s="1"/>
  <c r="P7" i="29" s="1"/>
  <c r="P12" i="29" s="1"/>
  <c r="P4" i="29"/>
  <c r="P3" i="29"/>
  <c r="X26" i="29"/>
  <c r="X30" i="29" s="1"/>
  <c r="X25" i="29"/>
  <c r="H5" i="29"/>
  <c r="H9" i="29" s="1"/>
  <c r="H20" i="29"/>
  <c r="H4" i="29"/>
  <c r="H3" i="29"/>
  <c r="H26" i="29"/>
  <c r="H30" i="29" s="1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30" i="29" s="1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L26" i="29"/>
  <c r="L30" i="29" s="1"/>
  <c r="L25" i="29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30" i="29" s="1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N72" i="30" s="1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I74" i="30" s="1"/>
  <c r="CQ29" i="30"/>
  <c r="CY29" i="30"/>
  <c r="CJ29" i="30"/>
  <c r="CR29" i="30"/>
  <c r="CK29" i="30"/>
  <c r="CS29" i="30"/>
  <c r="CD29" i="30"/>
  <c r="CC29" i="30"/>
  <c r="CC74" i="30" s="1"/>
  <c r="CT29" i="30"/>
  <c r="CT74" i="30" s="1"/>
  <c r="CL29" i="30"/>
  <c r="CE29" i="30"/>
  <c r="CM29" i="30"/>
  <c r="CU29" i="30"/>
  <c r="CU74" i="30" s="1"/>
  <c r="CG29" i="30"/>
  <c r="CW29" i="30"/>
  <c r="CX29" i="30"/>
  <c r="CF29" i="30"/>
  <c r="CF74" i="30" s="1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E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N73" i="30"/>
  <c r="BN62" i="30"/>
  <c r="DE73" i="30"/>
  <c r="DM73" i="30"/>
  <c r="DU73" i="30"/>
  <c r="BL74" i="30"/>
  <c r="BL63" i="30"/>
  <c r="BL109" i="30" s="1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DF74" i="30"/>
  <c r="DN74" i="30"/>
  <c r="DV74" i="30"/>
  <c r="AV75" i="30"/>
  <c r="AV64" i="30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W205" i="31"/>
  <c r="AG205" i="31"/>
  <c r="Z259" i="31"/>
  <c r="AA259" i="31" s="1"/>
  <c r="Z257" i="31"/>
  <c r="AA257" i="31" s="1"/>
  <c r="U197" i="31"/>
  <c r="AI205" i="31"/>
  <c r="AI181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CR108" i="30" l="1"/>
  <c r="BN108" i="30"/>
  <c r="CJ108" i="30"/>
  <c r="CS106" i="30"/>
  <c r="CQ106" i="30"/>
  <c r="CV106" i="30"/>
  <c r="BF108" i="30"/>
  <c r="BM108" i="30"/>
  <c r="BJ108" i="30"/>
  <c r="BG108" i="30"/>
  <c r="BI108" i="30"/>
  <c r="BE108" i="30"/>
  <c r="BL108" i="30"/>
  <c r="BH108" i="30"/>
  <c r="P72" i="30"/>
  <c r="BA106" i="30"/>
  <c r="AV107" i="30"/>
  <c r="CV108" i="30"/>
  <c r="CT108" i="30"/>
  <c r="BD107" i="30"/>
  <c r="BB106" i="30"/>
  <c r="BL106" i="30"/>
  <c r="CF108" i="30"/>
  <c r="CL108" i="30"/>
  <c r="CQ108" i="30"/>
  <c r="CP106" i="30"/>
  <c r="BB107" i="30"/>
  <c r="BN106" i="30"/>
  <c r="CU108" i="30"/>
  <c r="CI108" i="30"/>
  <c r="CU106" i="30"/>
  <c r="BC107" i="30"/>
  <c r="BD106" i="30"/>
  <c r="BJ106" i="30"/>
  <c r="BM106" i="30"/>
  <c r="CM108" i="30"/>
  <c r="CS108" i="30"/>
  <c r="CH106" i="30"/>
  <c r="CM106" i="30"/>
  <c r="AZ106" i="30"/>
  <c r="BI106" i="30"/>
  <c r="AY107" i="30"/>
  <c r="BH106" i="30"/>
  <c r="BF106" i="30"/>
  <c r="CR106" i="30"/>
  <c r="CW106" i="30"/>
  <c r="CD108" i="30"/>
  <c r="AX107" i="30"/>
  <c r="BE106" i="30"/>
  <c r="CW108" i="30"/>
  <c r="CH108" i="30"/>
  <c r="CT106" i="30"/>
  <c r="CJ106" i="30"/>
  <c r="CO106" i="30"/>
  <c r="AF197" i="31"/>
  <c r="W173" i="31"/>
  <c r="AG173" i="31"/>
  <c r="J29" i="29"/>
  <c r="N73" i="30"/>
  <c r="AD73" i="30"/>
  <c r="Z29" i="29"/>
  <c r="I73" i="30"/>
  <c r="E29" i="29"/>
  <c r="L29" i="29"/>
  <c r="P73" i="30"/>
  <c r="C30" i="29"/>
  <c r="C32" i="29" s="1"/>
  <c r="C34" i="29" s="1"/>
  <c r="H73" i="30"/>
  <c r="D29" i="29"/>
  <c r="AC73" i="30"/>
  <c r="Y29" i="29"/>
  <c r="J73" i="30"/>
  <c r="F29" i="29"/>
  <c r="L73" i="30"/>
  <c r="H29" i="29"/>
  <c r="G29" i="29"/>
  <c r="K73" i="30"/>
  <c r="P29" i="29"/>
  <c r="T73" i="30"/>
  <c r="Q29" i="29"/>
  <c r="U73" i="30"/>
  <c r="R29" i="29"/>
  <c r="V73" i="30"/>
  <c r="N29" i="29"/>
  <c r="R73" i="30"/>
  <c r="S29" i="29"/>
  <c r="W73" i="30"/>
  <c r="O29" i="29"/>
  <c r="S73" i="30"/>
  <c r="T29" i="29"/>
  <c r="X73" i="30"/>
  <c r="M29" i="29"/>
  <c r="Q73" i="30"/>
  <c r="AF188" i="31"/>
  <c r="I29" i="29"/>
  <c r="M73" i="30"/>
  <c r="U29" i="29"/>
  <c r="Y73" i="30"/>
  <c r="AA73" i="30"/>
  <c r="W29" i="29"/>
  <c r="AB73" i="30"/>
  <c r="X29" i="29"/>
  <c r="V29" i="29"/>
  <c r="Z73" i="30"/>
  <c r="J72" i="30"/>
  <c r="F8" i="29"/>
  <c r="F201" i="29" s="1"/>
  <c r="H8" i="29"/>
  <c r="H201" i="29" s="1"/>
  <c r="L72" i="30"/>
  <c r="X8" i="29"/>
  <c r="X201" i="29" s="1"/>
  <c r="AB72" i="30"/>
  <c r="G8" i="29"/>
  <c r="G201" i="29" s="1"/>
  <c r="K72" i="30"/>
  <c r="AD72" i="30"/>
  <c r="Z8" i="29"/>
  <c r="Z201" i="29" s="1"/>
  <c r="AC72" i="30"/>
  <c r="Y8" i="29"/>
  <c r="Y201" i="29" s="1"/>
  <c r="M72" i="30"/>
  <c r="I72" i="30"/>
  <c r="E8" i="29"/>
  <c r="H72" i="30"/>
  <c r="D8" i="29"/>
  <c r="C8" i="29"/>
  <c r="C201" i="29" s="1"/>
  <c r="C212" i="29" s="1"/>
  <c r="G72" i="30"/>
  <c r="M8" i="29"/>
  <c r="M201" i="29" s="1"/>
  <c r="Q72" i="30"/>
  <c r="U8" i="29"/>
  <c r="Y72" i="30"/>
  <c r="U72" i="30"/>
  <c r="Q8" i="29"/>
  <c r="R8" i="29"/>
  <c r="R201" i="29" s="1"/>
  <c r="V72" i="30"/>
  <c r="S72" i="30"/>
  <c r="O8" i="29"/>
  <c r="O201" i="29" s="1"/>
  <c r="T72" i="30"/>
  <c r="P8" i="29"/>
  <c r="P201" i="29" s="1"/>
  <c r="T8" i="29"/>
  <c r="T201" i="29" s="1"/>
  <c r="X72" i="30"/>
  <c r="S8" i="29"/>
  <c r="W72" i="30"/>
  <c r="N8" i="29"/>
  <c r="N201" i="29" s="1"/>
  <c r="R72" i="30"/>
  <c r="V197" i="31"/>
  <c r="U173" i="31"/>
  <c r="V173" i="31"/>
  <c r="AF173" i="31"/>
  <c r="AG197" i="31"/>
  <c r="W197" i="31"/>
  <c r="AI197" i="31"/>
  <c r="AC25" i="28"/>
  <c r="AC34" i="28" s="1"/>
  <c r="K39" i="28" s="1"/>
  <c r="C96" i="33" s="1"/>
  <c r="W25" i="28"/>
  <c r="Y25" i="28"/>
  <c r="Y34" i="28" s="1"/>
  <c r="K36" i="28" s="1"/>
  <c r="C92" i="33" s="1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Q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F117" i="30" l="1"/>
  <c r="Q5" i="30" s="1"/>
  <c r="C11" i="29"/>
  <c r="C13" i="29" s="1"/>
  <c r="CO84" i="30"/>
  <c r="AI171" i="28"/>
  <c r="B110" i="30"/>
  <c r="AI171" i="31"/>
  <c r="AJ171" i="31"/>
  <c r="AJ171" i="28"/>
  <c r="F72" i="30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I85" i="30" l="1"/>
  <c r="Q43" i="29"/>
  <c r="C191" i="33"/>
  <c r="B109" i="30"/>
  <c r="B112" i="30" s="1"/>
  <c r="K48" i="28"/>
  <c r="BA85" i="30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CS102" i="30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D153" i="33"/>
  <c r="CE152" i="33"/>
  <c r="CY152" i="33"/>
  <c r="CC152" i="33"/>
  <c r="BO153" i="33"/>
  <c r="BP153" i="33"/>
  <c r="CD152" i="33"/>
  <c r="CG153" i="33"/>
  <c r="CE153" i="33"/>
  <c r="CF152" i="33"/>
  <c r="CX152" i="33"/>
  <c r="J27" i="24" l="1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B81" i="30" l="1"/>
  <c r="F81" i="30" s="1"/>
  <c r="B114" i="30" s="1"/>
  <c r="T245" i="31"/>
  <c r="C189" i="33" s="1"/>
  <c r="D189" i="33" s="1"/>
  <c r="AK189" i="33" s="1"/>
  <c r="AO189" i="33" s="1"/>
  <c r="AO192" i="33" s="1"/>
  <c r="F76" i="30"/>
  <c r="F77" i="30"/>
  <c r="B129" i="30" s="1"/>
  <c r="F75" i="30"/>
  <c r="AJ219" i="33"/>
  <c r="AN219" i="33" s="1"/>
  <c r="AK227" i="33"/>
  <c r="AO227" i="33" s="1"/>
  <c r="AJ218" i="33"/>
  <c r="AN218" i="33" s="1"/>
  <c r="AK226" i="33"/>
  <c r="AO226" i="33" s="1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X245" i="31" l="1"/>
  <c r="J141" i="31" s="1"/>
  <c r="C219" i="33" s="1"/>
  <c r="C277" i="33"/>
  <c r="D277" i="33" s="1"/>
  <c r="C193" i="33"/>
  <c r="D193" i="33" s="1"/>
  <c r="C278" i="33"/>
  <c r="D278" i="33" s="1"/>
  <c r="D291" i="33" s="1"/>
  <c r="B113" i="30"/>
  <c r="B125" i="30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X248" i="31" l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162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L101" i="24"/>
  <c r="L112" i="24" s="1"/>
  <c r="P101" i="24"/>
  <c r="P112" i="24" s="1"/>
  <c r="P138" i="24" s="1"/>
  <c r="P151" i="24" s="1"/>
  <c r="P177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R163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N163" i="24" l="1"/>
  <c r="N176" i="24"/>
  <c r="I163" i="24"/>
  <c r="I176" i="24"/>
  <c r="L201" i="24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162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62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P162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62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62" i="24" s="1"/>
  <c r="R172" i="24" s="1"/>
  <c r="R215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H137" i="24"/>
  <c r="H150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N162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S201" i="24" l="1"/>
  <c r="S162" i="24"/>
  <c r="S172" i="24" s="1"/>
  <c r="S215" i="24" s="1"/>
  <c r="N172" i="24"/>
  <c r="N215" i="24" s="1"/>
  <c r="K163" i="24"/>
  <c r="K172" i="24" s="1"/>
  <c r="K215" i="24" s="1"/>
  <c r="K176" i="24"/>
  <c r="O163" i="24"/>
  <c r="O172" i="24" s="1"/>
  <c r="O215" i="24" s="1"/>
  <c r="O176" i="24"/>
  <c r="O185" i="24" s="1"/>
  <c r="O216" i="24" s="1"/>
  <c r="M163" i="24"/>
  <c r="M172" i="24" s="1"/>
  <c r="M215" i="24" s="1"/>
  <c r="M176" i="24"/>
  <c r="M185" i="24" s="1"/>
  <c r="M216" i="24" s="1"/>
  <c r="J163" i="24"/>
  <c r="J176" i="24"/>
  <c r="J185" i="24" s="1"/>
  <c r="J216" i="24" s="1"/>
  <c r="H163" i="24"/>
  <c r="H176" i="24"/>
  <c r="H185" i="24" s="1"/>
  <c r="H216" i="24" s="1"/>
  <c r="P163" i="24"/>
  <c r="P172" i="24" s="1"/>
  <c r="P215" i="24" s="1"/>
  <c r="P176" i="24"/>
  <c r="P185" i="24" s="1"/>
  <c r="P216" i="24" s="1"/>
  <c r="L163" i="24"/>
  <c r="L172" i="24" s="1"/>
  <c r="L215" i="24" s="1"/>
  <c r="L176" i="24"/>
  <c r="L185" i="24" s="1"/>
  <c r="L216" i="24" s="1"/>
  <c r="Q163" i="24"/>
  <c r="Q172" i="24" s="1"/>
  <c r="Q215" i="24" s="1"/>
  <c r="Q176" i="24"/>
  <c r="Q185" i="24" s="1"/>
  <c r="Q216" i="24" s="1"/>
  <c r="K185" i="24"/>
  <c r="K216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BM64" i="33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BJ66" i="33"/>
  <c r="CH64" i="33"/>
  <c r="CP73" i="33"/>
  <c r="CP85" i="33" s="1"/>
  <c r="BP69" i="33"/>
  <c r="BP80" i="33" s="1"/>
  <c r="CM65" i="33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BI64" i="33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S70" i="33"/>
  <c r="CS81" i="33" s="1"/>
  <c r="BF66" i="33"/>
  <c r="BQ71" i="33"/>
  <c r="BQ82" i="33" s="1"/>
  <c r="CG73" i="33"/>
  <c r="CG85" i="33" s="1"/>
  <c r="CQ65" i="33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BI73" i="33"/>
  <c r="BI85" i="33" s="1"/>
  <c r="CN69" i="33"/>
  <c r="CN80" i="33" s="1"/>
  <c r="CN67" i="33"/>
  <c r="CN78" i="33" s="1"/>
  <c r="AX64" i="33"/>
  <c r="CX68" i="33"/>
  <c r="CX79" i="33" s="1"/>
  <c r="CX67" i="33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AW71" i="33"/>
  <c r="AW82" i="33" s="1"/>
  <c r="BD67" i="33"/>
  <c r="AW64" i="33"/>
  <c r="CU65" i="33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BG65" i="33"/>
  <c r="BG76" i="33" s="1"/>
  <c r="CM73" i="33"/>
  <c r="CM85" i="33" s="1"/>
  <c r="CS65" i="33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CQ66" i="33"/>
  <c r="CQ77" i="33" s="1"/>
  <c r="BG64" i="33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BL65" i="33"/>
  <c r="BL76" i="33" s="1"/>
  <c r="BE65" i="33"/>
  <c r="BE76" i="33" s="1"/>
  <c r="EB68" i="33"/>
  <c r="EB79" i="33" s="1"/>
  <c r="DL69" i="33"/>
  <c r="DL80" i="33" s="1"/>
  <c r="BK64" i="33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DY72" i="33"/>
  <c r="DY84" i="33" s="1"/>
  <c r="BS66" i="33"/>
  <c r="BA71" i="33"/>
  <c r="BA82" i="33" s="1"/>
  <c r="CL66" i="33"/>
  <c r="CL77" i="33" s="1"/>
  <c r="DR67" i="33"/>
  <c r="DR78" i="33" s="1"/>
  <c r="BJ64" i="33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T69" i="33"/>
  <c r="CT80" i="33" s="1"/>
  <c r="CJ65" i="33"/>
  <c r="BN67" i="33"/>
  <c r="BN78" i="33" s="1"/>
  <c r="BS68" i="33"/>
  <c r="BS79" i="33" s="1"/>
  <c r="BE73" i="33"/>
  <c r="BE85" i="33" s="1"/>
  <c r="CE67" i="33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R76" i="33" l="1"/>
  <c r="BR152" i="33"/>
  <c r="AZ76" i="33"/>
  <c r="AZ152" i="33"/>
  <c r="AV76" i="33"/>
  <c r="AV152" i="33"/>
  <c r="AY76" i="33"/>
  <c r="AY152" i="33"/>
  <c r="BS76" i="33"/>
  <c r="BS152" i="33"/>
  <c r="BB76" i="33"/>
  <c r="BB152" i="33"/>
  <c r="BA76" i="33"/>
  <c r="BA152" i="33"/>
  <c r="BP76" i="33"/>
  <c r="BP152" i="33"/>
  <c r="BD76" i="33"/>
  <c r="BD152" i="33"/>
  <c r="BC76" i="33"/>
  <c r="BC152" i="33"/>
  <c r="AX76" i="33"/>
  <c r="AX152" i="33"/>
  <c r="BQ76" i="33"/>
  <c r="BQ152" i="33"/>
  <c r="BO76" i="33"/>
  <c r="BO152" i="33"/>
  <c r="AW76" i="33"/>
  <c r="AW122" i="33" s="1"/>
  <c r="AW168" i="33" s="1"/>
  <c r="AW152" i="33"/>
  <c r="CT78" i="33"/>
  <c r="CT154" i="33"/>
  <c r="CX78" i="33"/>
  <c r="CX154" i="33"/>
  <c r="CE78" i="33"/>
  <c r="CE154" i="33"/>
  <c r="CT76" i="33"/>
  <c r="CT122" i="33" s="1"/>
  <c r="CT168" i="33" s="1"/>
  <c r="CT152" i="33"/>
  <c r="CH78" i="33"/>
  <c r="CH154" i="33"/>
  <c r="CV78" i="33"/>
  <c r="CV154" i="33"/>
  <c r="CO76" i="33"/>
  <c r="CO152" i="33"/>
  <c r="CI76" i="33"/>
  <c r="CI122" i="33" s="1"/>
  <c r="CI168" i="33" s="1"/>
  <c r="CI152" i="33"/>
  <c r="CG78" i="33"/>
  <c r="CG154" i="33"/>
  <c r="CY78" i="33"/>
  <c r="CY154" i="33"/>
  <c r="CW78" i="33"/>
  <c r="CW154" i="33"/>
  <c r="CR76" i="33"/>
  <c r="CR122" i="33" s="1"/>
  <c r="CR168" i="33" s="1"/>
  <c r="CR152" i="33"/>
  <c r="CB78" i="33"/>
  <c r="CB154" i="33"/>
  <c r="CM76" i="33"/>
  <c r="CM152" i="33"/>
  <c r="CI78" i="33"/>
  <c r="CI154" i="33"/>
  <c r="CG76" i="33"/>
  <c r="CG122" i="33" s="1"/>
  <c r="CG168" i="33" s="1"/>
  <c r="CG152" i="33"/>
  <c r="CS76" i="33"/>
  <c r="CS152" i="33"/>
  <c r="CQ76" i="33"/>
  <c r="CQ152" i="33"/>
  <c r="CH76" i="33"/>
  <c r="CH152" i="33"/>
  <c r="CU78" i="33"/>
  <c r="CU124" i="33" s="1"/>
  <c r="CU170" i="33" s="1"/>
  <c r="CU154" i="33"/>
  <c r="CJ76" i="33"/>
  <c r="CJ152" i="33"/>
  <c r="CN76" i="33"/>
  <c r="CN152" i="33"/>
  <c r="CU76" i="33"/>
  <c r="CU152" i="33"/>
  <c r="CK76" i="33"/>
  <c r="CK133" i="33" s="1"/>
  <c r="CK152" i="33"/>
  <c r="CP76" i="33"/>
  <c r="CP152" i="33"/>
  <c r="CC78" i="33"/>
  <c r="CC154" i="33"/>
  <c r="CD78" i="33"/>
  <c r="CD124" i="33" s="1"/>
  <c r="CD170" i="33" s="1"/>
  <c r="CD154" i="33"/>
  <c r="CL76" i="33"/>
  <c r="CL122" i="33" s="1"/>
  <c r="CL168" i="33" s="1"/>
  <c r="CL152" i="33"/>
  <c r="CF78" i="33"/>
  <c r="CF154" i="33"/>
  <c r="AV78" i="33"/>
  <c r="AV154" i="33"/>
  <c r="BP78" i="33"/>
  <c r="BP154" i="33"/>
  <c r="AX78" i="33"/>
  <c r="AX135" i="33" s="1"/>
  <c r="AX154" i="33"/>
  <c r="BI75" i="33"/>
  <c r="BI132" i="33" s="1"/>
  <c r="BI151" i="33"/>
  <c r="BR78" i="33"/>
  <c r="BR154" i="33"/>
  <c r="BB78" i="33"/>
  <c r="BB154" i="33"/>
  <c r="AW78" i="33"/>
  <c r="AW135" i="33" s="1"/>
  <c r="AW154" i="33"/>
  <c r="BH75" i="33"/>
  <c r="BH121" i="33" s="1"/>
  <c r="BH167" i="33" s="1"/>
  <c r="BH151" i="33"/>
  <c r="AY78" i="33"/>
  <c r="AY154" i="33"/>
  <c r="BG75" i="33"/>
  <c r="BG151" i="33"/>
  <c r="BA78" i="33"/>
  <c r="BA124" i="33" s="1"/>
  <c r="BA170" i="33" s="1"/>
  <c r="BA154" i="33"/>
  <c r="BK75" i="33"/>
  <c r="BK121" i="33" s="1"/>
  <c r="BK167" i="33" s="1"/>
  <c r="BK151" i="33"/>
  <c r="BO78" i="33"/>
  <c r="BO154" i="33"/>
  <c r="BM75" i="33"/>
  <c r="BM151" i="33"/>
  <c r="BC78" i="33"/>
  <c r="BC124" i="33" s="1"/>
  <c r="BC170" i="33" s="1"/>
  <c r="BC154" i="33"/>
  <c r="BJ75" i="33"/>
  <c r="BJ121" i="33" s="1"/>
  <c r="BJ167" i="33" s="1"/>
  <c r="BJ151" i="33"/>
  <c r="BL75" i="33"/>
  <c r="BL151" i="33"/>
  <c r="BQ78" i="33"/>
  <c r="BQ154" i="33"/>
  <c r="AZ78" i="33"/>
  <c r="AZ135" i="33" s="1"/>
  <c r="AZ154" i="33"/>
  <c r="BD78" i="33"/>
  <c r="BD124" i="33" s="1"/>
  <c r="BD170" i="33" s="1"/>
  <c r="BD154" i="33"/>
  <c r="BS78" i="33"/>
  <c r="BS154" i="33"/>
  <c r="L211" i="33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I127" i="33"/>
  <c r="BI173" i="33" s="1"/>
  <c r="BI138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L135" i="33"/>
  <c r="BL124" i="33"/>
  <c r="BL170" i="33" s="1"/>
  <c r="BK153" i="33"/>
  <c r="BK77" i="33"/>
  <c r="DG130" i="33"/>
  <c r="DG176" i="33" s="1"/>
  <c r="DG141" i="33"/>
  <c r="DE127" i="33"/>
  <c r="DE173" i="33" s="1"/>
  <c r="DE138" i="33"/>
  <c r="BH153" i="33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CY125" i="33"/>
  <c r="CY171" i="33" s="1"/>
  <c r="CY136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77" i="33"/>
  <c r="CT125" i="33"/>
  <c r="CT171" i="33" s="1"/>
  <c r="CT136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75" i="33"/>
  <c r="CF129" i="33"/>
  <c r="CF175" i="33" s="1"/>
  <c r="CF140" i="33"/>
  <c r="DX126" i="33"/>
  <c r="DX172" i="33" s="1"/>
  <c r="DX137" i="33"/>
  <c r="CC153" i="33"/>
  <c r="CC77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BS133" i="33"/>
  <c r="BS122" i="33"/>
  <c r="BS168" i="33" s="1"/>
  <c r="DK129" i="33"/>
  <c r="DK175" i="33" s="1"/>
  <c r="DK140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CY75" i="33"/>
  <c r="CY151" i="33"/>
  <c r="BJ122" i="33"/>
  <c r="BJ168" i="33" s="1"/>
  <c r="BJ133" i="33"/>
  <c r="BJ132" i="33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AW133" i="33" l="1"/>
  <c r="BL160" i="33"/>
  <c r="BL161" i="33" s="1"/>
  <c r="BL162" i="33" s="1"/>
  <c r="BO160" i="33"/>
  <c r="BO161" i="33" s="1"/>
  <c r="BO162" i="33" s="1"/>
  <c r="AZ124" i="33"/>
  <c r="AZ170" i="33" s="1"/>
  <c r="BM160" i="33"/>
  <c r="BM161" i="33" s="1"/>
  <c r="BM162" i="33" s="1"/>
  <c r="BP160" i="33"/>
  <c r="BP161" i="33" s="1"/>
  <c r="BP162" i="33" s="1"/>
  <c r="BG160" i="33"/>
  <c r="BG161" i="33" s="1"/>
  <c r="BG162" i="33" s="1"/>
  <c r="CT133" i="33"/>
  <c r="CG133" i="33"/>
  <c r="BC135" i="33"/>
  <c r="CR133" i="33"/>
  <c r="CR145" i="33" s="1"/>
  <c r="CI133" i="33"/>
  <c r="AW124" i="33"/>
  <c r="AW170" i="33" s="1"/>
  <c r="CU135" i="33"/>
  <c r="CL133" i="33"/>
  <c r="CL144" i="33" s="1"/>
  <c r="AX124" i="33"/>
  <c r="AX170" i="33" s="1"/>
  <c r="BN160" i="33"/>
  <c r="BN161" i="33" s="1"/>
  <c r="BN162" i="33" s="1"/>
  <c r="BI121" i="33"/>
  <c r="BI167" i="33" s="1"/>
  <c r="BD135" i="33"/>
  <c r="BK132" i="33"/>
  <c r="BH132" i="33"/>
  <c r="BA135" i="33"/>
  <c r="BJ160" i="33"/>
  <c r="BJ161" i="33" s="1"/>
  <c r="BJ162" i="33" s="1"/>
  <c r="BI160" i="33"/>
  <c r="BI161" i="33" s="1"/>
  <c r="BI162" i="33" s="1"/>
  <c r="BK160" i="33"/>
  <c r="BK161" i="33" s="1"/>
  <c r="BK162" i="33" s="1"/>
  <c r="BH160" i="33"/>
  <c r="BH161" i="33" s="1"/>
  <c r="BH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CR143" i="33" l="1"/>
  <c r="CR144" i="33"/>
  <c r="CR142" i="33"/>
  <c r="BI178" i="33"/>
  <c r="CL145" i="33"/>
  <c r="CL142" i="33"/>
  <c r="CL146" i="33" s="1"/>
  <c r="CL148" i="33" s="1"/>
  <c r="CL143" i="33"/>
  <c r="BH143" i="33"/>
  <c r="BJ144" i="33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BJ147" i="33" l="1"/>
  <c r="BJ163" i="33" s="1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BC10" i="29" s="1"/>
  <c r="U9" i="7"/>
  <c r="BC11" i="29" s="1"/>
  <c r="U23" i="7"/>
  <c r="BC25" i="29" s="1"/>
  <c r="T6" i="7"/>
  <c r="BB8" i="29" s="1"/>
  <c r="T7" i="7"/>
  <c r="BB9" i="29" s="1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BB5" i="29" s="1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BB6" i="29" s="1"/>
  <c r="U4" i="7"/>
  <c r="BC6" i="29" s="1"/>
  <c r="V9" i="7"/>
  <c r="T9" i="7"/>
  <c r="BB11" i="29" s="1"/>
  <c r="T8" i="7"/>
  <c r="BB10" i="29" s="1"/>
  <c r="V8" i="7"/>
  <c r="U7" i="7"/>
  <c r="BC9" i="29" s="1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BA30" i="29" s="1"/>
  <c r="U5" i="7"/>
  <c r="BC7" i="29" s="1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BC8" i="29" s="1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4" i="30" s="1"/>
  <c r="C183" i="33"/>
  <c r="AK26" i="29"/>
  <c r="C184" i="33" s="1"/>
  <c r="D184" i="33" s="1"/>
  <c r="T234" i="31"/>
  <c r="T272" i="31" s="1"/>
  <c r="X272" i="31" s="1"/>
  <c r="J142" i="31" s="1"/>
  <c r="C220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B167" i="31" s="1"/>
  <c r="J167" i="31" s="1"/>
  <c r="C235" i="33" s="1"/>
  <c r="C236" i="33" s="1"/>
  <c r="C185" i="33"/>
  <c r="D185" i="33" s="1"/>
  <c r="D183" i="33" s="1"/>
  <c r="X234" i="31"/>
  <c r="C307" i="33" s="1"/>
  <c r="AX39" i="23"/>
  <c r="AX37" i="23"/>
  <c r="AT38" i="23"/>
  <c r="AT37" i="23"/>
  <c r="AV39" i="23"/>
  <c r="AV37" i="23"/>
  <c r="X237" i="31"/>
  <c r="Z237" i="31" s="1"/>
  <c r="AU39" i="23"/>
  <c r="AU37" i="2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2" i="18" s="1"/>
  <c r="W215" i="18" s="1"/>
  <c r="AB5" i="22" s="1"/>
  <c r="BN15" i="23" s="1"/>
  <c r="BN21" i="23" s="1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192" i="33" l="1"/>
  <c r="N201" i="18"/>
  <c r="N162" i="18"/>
  <c r="O201" i="18"/>
  <c r="O162" i="18"/>
  <c r="R201" i="18"/>
  <c r="R211" i="18" s="1"/>
  <c r="R218" i="18" s="1"/>
  <c r="W9" i="22" s="1"/>
  <c r="R162" i="18"/>
  <c r="P201" i="18"/>
  <c r="P211" i="18" s="1"/>
  <c r="P218" i="18" s="1"/>
  <c r="U9" i="22" s="1"/>
  <c r="P162" i="18"/>
  <c r="P172" i="18" s="1"/>
  <c r="P215" i="18" s="1"/>
  <c r="U5" i="22" s="1"/>
  <c r="S201" i="18"/>
  <c r="S162" i="18"/>
  <c r="M201" i="18"/>
  <c r="M162" i="18"/>
  <c r="Q201" i="18"/>
  <c r="Q211" i="18" s="1"/>
  <c r="Q218" i="18" s="1"/>
  <c r="V9" i="22" s="1"/>
  <c r="Q162" i="18"/>
  <c r="Q172" i="18" s="1"/>
  <c r="Q215" i="18" s="1"/>
  <c r="V5" i="22" s="1"/>
  <c r="J170" i="3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J40" i="31" s="1"/>
  <c r="AE40" i="31" s="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<sst xmlns="http://schemas.openxmlformats.org/spreadsheetml/2006/main" count="3129" uniqueCount="1468">
  <si>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</si>
  <si>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</si>
  <si>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</si>
  <si>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</si>
  <si>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</si>
  <si>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</si>
  <si>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</si>
  <si>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</si>
  <si>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</si>
  <si>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</si>
  <si>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</si>
  <si>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</si>
  <si>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</si>
  <si>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</si>
  <si>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</si>
  <si>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</si>
  <si>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</si>
  <si>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</si>
  <si>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</si>
  <si>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</si>
  <si>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</si>
  <si>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</si>
  <si>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</si>
  <si>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</si>
  <si>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</si>
  <si>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</si>
  <si>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</si>
  <si>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</si>
  <si>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</si>
  <si>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</si>
  <si>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</si>
  <si>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</si>
  <si>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</si>
  <si>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</si>
  <si>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</si>
  <si>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</si>
  <si>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</si>
  <si>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</si>
  <si>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</si>
  <si>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</si>
  <si>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</si>
  <si>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</si>
  <si>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</si>
  <si>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</si>
  <si>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</si>
  <si>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</si>
  <si>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</si>
  <si>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</si>
  <si>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</si>
  <si>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</si>
  <si>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</si>
  <si>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</si>
  <si>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</si>
  <si>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</si>
  <si>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</si>
  <si>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</si>
  <si>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</si>
  <si>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</si>
  <si>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</si>
  <si>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</si>
  <si>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</si>
  <si>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</si>
  <si>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</si>
  <si>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</si>
  <si>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</si>
  <si>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</si>
  <si>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</si>
  <si>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</si>
  <si>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</si>
  <si>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</si>
  <si>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</si>
  <si>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</si>
  <si>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</si>
  <si>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</si>
  <si>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</si>
  <si>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</si>
  <si>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</si>
  <si>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</si>
  <si>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</si>
  <si>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</si>
  <si>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</si>
  <si>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</si>
  <si>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</si>
  <si>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</si>
  <si>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</si>
  <si>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</si>
  <si>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</si>
  <si>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</si>
  <si>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</si>
  <si>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</si>
  <si>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</si>
  <si>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</si>
  <si>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</si>
  <si>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</si>
  <si>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</si>
  <si>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</si>
  <si>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</si>
  <si>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</si>
  <si>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</si>
  <si>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</si>
  <si>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</si>
  <si>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</si>
  <si>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</si>
  <si>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</si>
  <si>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</si>
  <si>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</si>
  <si>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</si>
  <si>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</si>
  <si>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</si>
  <si>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</si>
  <si>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</si>
  <si>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</si>
  <si>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</si>
  <si>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</si>
  <si>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</si>
  <si>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</si>
  <si>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</si>
  <si>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</si>
  <si>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</si>
  <si>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</si>
  <si>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</si>
  <si>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</si>
  <si>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</si>
  <si>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</si>
  <si>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</si>
  <si>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</si>
  <si>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</si>
  <si>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</si>
  <si>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</si>
  <si>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</si>
  <si>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</si>
  <si>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</si>
  <si>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</si>
  <si>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</si>
  <si>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</si>
  <si>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</si>
  <si>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</si>
  <si>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</si>
  <si>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</si>
  <si>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</si>
  <si>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</si>
  <si>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</si>
  <si>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</si>
  <si>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</si>
  <si>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</si>
  <si>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</si>
  <si>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</si>
  <si>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</si>
  <si>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</si>
  <si>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</si>
  <si>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</si>
  <si>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</si>
  <si>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</si>
  <si>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</si>
  <si>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</si>
  <si>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</si>
  <si>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</si>
  <si>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</si>
  <si>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</si>
  <si>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</si>
  <si>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</si>
  <si>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</si>
  <si>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</si>
  <si>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</si>
  <si>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</si>
  <si>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</si>
  <si>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</si>
  <si>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</si>
  <si>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</si>
  <si>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</si>
  <si>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</si>
  <si>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</si>
  <si>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</si>
  <si>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</si>
  <si>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</si>
  <si>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</si>
  <si>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</si>
  <si>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</si>
  <si>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</si>
  <si>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</si>
  <si>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</si>
  <si>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</si>
  <si>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</si>
  <si>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</si>
  <si>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</si>
  <si>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</si>
  <si>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</si>
  <si>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</si>
  <si>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</si>
  <si>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</si>
  <si>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</si>
  <si>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</si>
  <si>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</si>
  <si>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</si>
  <si>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</si>
  <si>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</si>
  <si>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</si>
  <si>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</si>
  <si>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</si>
  <si>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</si>
  <si>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</si>
  <si>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</si>
  <si>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</si>
  <si>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</si>
  <si>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</si>
  <si>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</si>
  <si>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</si>
  <si>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</si>
  <si>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</si>
  <si>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</si>
  <si>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</si>
  <si>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</si>
  <si>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</si>
  <si>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</si>
  <si>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</si>
  <si>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</si>
  <si>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</si>
  <si>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</si>
  <si>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</si>
  <si>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</si>
  <si>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</si>
  <si>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</si>
  <si>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</si>
  <si>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</si>
  <si>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</si>
  <si>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</si>
  <si>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</si>
  <si>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</si>
  <si>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</si>
  <si>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</si>
  <si>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</si>
  <si>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</si>
  <si>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</si>
  <si>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</si>
  <si>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</si>
  <si>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</si>
  <si>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</si>
  <si>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</si>
  <si>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</si>
  <si>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</si>
  <si>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</si>
  <si>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</si>
  <si>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</si>
  <si>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</si>
  <si>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</si>
  <si>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</si>
  <si>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</si>
  <si>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</si>
  <si>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</si>
  <si>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</si>
  <si>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</si>
  <si>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</si>
  <si>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</si>
  <si>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</si>
  <si>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</si>
  <si>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</si>
  <si>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</si>
  <si>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</si>
  <si>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</si>
  <si>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</si>
  <si>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</si>
  <si>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</si>
  <si>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</si>
  <si>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</si>
  <si>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</si>
  <si>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</si>
  <si>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</si>
  <si>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</si>
  <si>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</si>
  <si>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</si>
  <si>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</si>
  <si>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</si>
  <si>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</si>
  <si>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</si>
  <si>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</si>
  <si>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</si>
  <si>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</si>
  <si>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</si>
  <si>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</si>
  <si>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</si>
  <si>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</si>
  <si>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</si>
  <si>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</si>
  <si>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</si>
  <si>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</si>
  <si>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</si>
  <si>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</si>
  <si>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</si>
  <si>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</si>
  <si>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</si>
  <si>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</si>
  <si>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</si>
  <si>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</si>
  <si>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</si>
  <si>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</si>
  <si>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</si>
  <si>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</si>
  <si>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</si>
  <si>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</si>
  <si>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</si>
  <si>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</si>
  <si>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</si>
  <si>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</si>
  <si>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</si>
  <si>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</si>
  <si>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</si>
  <si>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</si>
  <si>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</si>
  <si>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</si>
  <si>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</si>
  <si>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</si>
  <si>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</si>
  <si>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</si>
  <si>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</si>
  <si>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</si>
  <si>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</si>
  <si>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</si>
  <si>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</si>
  <si>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</si>
  <si>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</si>
  <si>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</si>
  <si>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</si>
  <si>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</si>
  <si>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</si>
  <si>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</si>
  <si>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</si>
  <si>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</si>
  <si>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</si>
  <si>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</si>
  <si>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</si>
  <si>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</si>
  <si>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</si>
  <si>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</si>
  <si>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</si>
  <si>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</si>
  <si>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</si>
  <si>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</si>
  <si>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</si>
  <si>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</si>
  <si>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</si>
  <si>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</si>
  <si>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</si>
  <si>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</si>
  <si>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</si>
  <si>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</si>
  <si>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</si>
  <si>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</si>
  <si>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</si>
  <si>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</si>
  <si>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</si>
  <si>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</si>
  <si>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</si>
  <si>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</si>
  <si>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</si>
  <si>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</si>
  <si>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</si>
  <si>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</si>
  <si>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</si>
  <si>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</si>
  <si>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</si>
  <si>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</si>
  <si>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</si>
  <si>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</si>
  <si>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</si>
  <si>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</si>
  <si>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</si>
  <si>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</si>
  <si>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</si>
  <si>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</si>
  <si>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</si>
  <si>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</si>
  <si>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</si>
  <si>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</si>
  <si>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</si>
  <si>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</si>
  <si>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</si>
  <si>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</si>
  <si>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</si>
  <si>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</si>
  <si>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</si>
  <si>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</si>
  <si>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</si>
  <si>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</si>
  <si>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</si>
  <si>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</si>
  <si>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</si>
  <si>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</si>
  <si>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</si>
  <si>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</si>
  <si>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</si>
  <si>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</si>
  <si>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</si>
  <si>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</si>
  <si>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</si>
  <si>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</si>
  <si>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</si>
  <si>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</si>
  <si>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</si>
  <si>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</si>
  <si>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</si>
  <si>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</si>
  <si>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</si>
  <si>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</si>
  <si>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</si>
  <si>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</si>
  <si>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</si>
  <si>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</si>
  <si>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</si>
  <si>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</si>
  <si>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</si>
  <si>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</si>
  <si>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</si>
  <si>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</si>
  <si>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</si>
  <si>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</si>
  <si>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</si>
  <si>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</si>
  <si>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</si>
  <si>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</si>
  <si>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</si>
  <si>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</si>
  <si>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</si>
  <si>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</si>
  <si>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</si>
  <si>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</si>
  <si>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</si>
  <si>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</si>
  <si>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</si>
  <si>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</si>
  <si>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</si>
  <si>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</si>
  <si>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</si>
  <si>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</si>
  <si>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</si>
  <si>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</si>
  <si>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</si>
  <si>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</si>
  <si>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</si>
  <si>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</si>
  <si>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</si>
  <si>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</si>
  <si>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</si>
  <si>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</si>
  <si>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</si>
  <si>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</si>
  <si>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</si>
  <si>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</si>
  <si>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</si>
  <si>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</si>
  <si>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</si>
  <si>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</si>
  <si>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</si>
  <si>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</si>
  <si>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</si>
  <si>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</si>
  <si>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</si>
  <si>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</si>
  <si>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</si>
  <si>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</si>
  <si>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</si>
  <si>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</si>
  <si>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</si>
  <si>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</si>
  <si>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</si>
  <si>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</si>
  <si>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</si>
  <si>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</si>
  <si>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</si>
  <si>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</si>
  <si>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</si>
  <si>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</si>
  <si>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</si>
  <si>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</si>
  <si>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</si>
  <si>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</si>
  <si>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</si>
  <si>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</si>
  <si>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</si>
  <si>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</si>
  <si>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</si>
  <si>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</si>
  <si>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</si>
  <si>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</si>
  <si>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</si>
  <si>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</si>
  <si>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</si>
  <si>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</si>
  <si>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</si>
  <si>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</si>
  <si>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</si>
  <si>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</si>
  <si>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</si>
  <si>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</si>
  <si>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</si>
  <si>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</si>
  <si>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</si>
  <si>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</si>
  <si>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</si>
  <si>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</si>
  <si>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</si>
  <si>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</si>
  <si>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</si>
  <si>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</si>
  <si>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</si>
  <si>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</si>
  <si>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</si>
  <si>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</si>
  <si>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</si>
  <si>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</si>
  <si>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</si>
  <si>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</si>
  <si>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</si>
  <si>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</si>
  <si>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</si>
  <si>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</si>
  <si>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</si>
  <si>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</si>
  <si>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</si>
  <si>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</si>
  <si>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</si>
  <si>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</si>
  <si>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</si>
  <si>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</si>
  <si>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</si>
  <si>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</si>
  <si>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</si>
  <si>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</si>
  <si>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</si>
  <si>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</si>
  <si>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</si>
  <si>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</si>
  <si>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</si>
  <si>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</si>
  <si>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</si>
  <si>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</si>
  <si>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</si>
  <si>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</si>
  <si>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</si>
  <si>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</si>
  <si>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</si>
  <si>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</si>
  <si>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</si>
  <si>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</si>
  <si>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</si>
  <si>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</si>
  <si>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</si>
  <si>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</si>
  <si>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</si>
  <si>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</si>
  <si>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</si>
  <si>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</si>
  <si>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</si>
  <si>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</si>
  <si>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</si>
  <si>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</si>
  <si>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</si>
  <si>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</si>
  <si>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</si>
  <si>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</si>
  <si>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</si>
  <si>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</si>
  <si>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</si>
  <si>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</si>
  <si>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</si>
  <si>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</si>
  <si>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</si>
  <si>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</si>
  <si>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</si>
  <si>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</si>
  <si>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</si>
  <si>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</si>
  <si>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</si>
  <si>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</si>
  <si>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</si>
  <si>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</si>
  <si>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</si>
  <si>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</si>
  <si>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</si>
  <si>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</si>
  <si>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</si>
  <si>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</si>
  <si>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</si>
  <si>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</si>
  <si>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</si>
  <si>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</si>
  <si>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</si>
  <si>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</si>
  <si>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</si>
  <si>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</si>
  <si>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</si>
  <si>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</si>
  <si>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</si>
  <si>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</si>
  <si>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</si>
  <si>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</si>
  <si>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</si>
  <si>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</si>
  <si>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</si>
  <si>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</si>
  <si>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</si>
  <si>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</si>
  <si>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</si>
  <si>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</si>
  <si>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</si>
  <si>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</si>
  <si>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</si>
  <si>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</si>
  <si>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</si>
  <si>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</si>
  <si>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</si>
  <si>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</si>
  <si>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</si>
  <si>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</si>
  <si>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</si>
  <si>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</si>
  <si>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</si>
  <si>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</si>
  <si>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</si>
  <si>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</si>
  <si>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</si>
  <si>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</si>
  <si>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</si>
  <si>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</si>
  <si>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</si>
  <si>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</si>
  <si>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</si>
  <si>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</si>
  <si>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</si>
  <si>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</si>
  <si>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</si>
  <si>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</si>
  <si>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</si>
  <si>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</si>
  <si>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</si>
  <si>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</si>
  <si>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</si>
  <si>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</si>
  <si>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</si>
  <si>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</si>
  <si>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</si>
  <si>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</si>
  <si>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</si>
  <si>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</si>
  <si>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</si>
  <si>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</si>
  <si>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</si>
  <si>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</si>
  <si>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</si>
  <si>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</si>
  <si>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</si>
  <si>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</si>
  <si>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</si>
  <si>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</si>
  <si>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</si>
  <si>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</si>
  <si>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</si>
  <si>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</si>
  <si>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</si>
  <si>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</si>
  <si>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</si>
  <si>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</si>
  <si>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</si>
  <si>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</si>
  <si>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</si>
  <si>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</si>
  <si>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</si>
  <si>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</si>
  <si>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</si>
  <si>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</si>
  <si>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</si>
  <si>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</si>
  <si>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</si>
  <si>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</si>
  <si>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</si>
  <si>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</si>
  <si>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</si>
  <si>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</si>
  <si>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</si>
  <si>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</si>
  <si>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</si>
  <si>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</si>
  <si>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</si>
  <si>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</si>
  <si>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</si>
  <si>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</si>
  <si>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</si>
  <si>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</si>
  <si>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</si>
  <si>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</si>
  <si>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</si>
  <si>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</si>
  <si>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</si>
  <si>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</si>
  <si>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</si>
  <si>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</si>
  <si>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</si>
  <si>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</si>
  <si>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</si>
  <si>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</si>
  <si>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</si>
  <si>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</si>
  <si>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</si>
  <si>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</si>
  <si>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</si>
  <si>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</si>
  <si>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</si>
  <si>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</si>
  <si>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</si>
  <si>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</si>
  <si>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</si>
  <si>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</si>
  <si>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</si>
  <si>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</si>
  <si>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</si>
  <si>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</si>
  <si>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</si>
  <si>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</si>
  <si>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</si>
  <si>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</si>
  <si>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</si>
  <si>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</si>
  <si>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</si>
  <si>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</si>
  <si>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</si>
  <si>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</si>
  <si>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</si>
  <si>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</si>
  <si>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</si>
  <si>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</si>
  <si>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</si>
  <si>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</si>
  <si>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</si>
  <si>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</si>
  <si>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</si>
  <si>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</si>
  <si>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</si>
  <si>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</si>
  <si>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</si>
  <si>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</si>
  <si>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</si>
  <si>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</si>
  <si>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</si>
  <si>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</si>
  <si>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</si>
  <si>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</si>
  <si>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</si>
  <si>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</si>
  <si>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</si>
  <si>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</si>
  <si>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</si>
  <si>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</si>
  <si>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</si>
  <si>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</si>
  <si>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</si>
  <si>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</si>
  <si>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</si>
  <si>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</si>
  <si>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</si>
  <si>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</si>
  <si>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</si>
  <si>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</si>
  <si>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</si>
  <si>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</si>
  <si>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</si>
  <si>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</si>
  <si>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</si>
  <si>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</si>
  <si>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</si>
  <si>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</si>
  <si>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</si>
  <si>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</si>
  <si>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</si>
  <si>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</si>
  <si>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</si>
  <si>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</si>
  <si>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</si>
  <si>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</si>
  <si>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</si>
  <si>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</si>
  <si>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</si>
  <si>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</si>
  <si>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</si>
  <si>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</si>
  <si>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</si>
  <si>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</si>
  <si>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</si>
  <si>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</si>
  <si>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</si>
  <si>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</si>
  <si>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</si>
  <si>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</si>
  <si>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</si>
  <si>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</si>
  <si>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</si>
  <si>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</si>
  <si>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</si>
  <si>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</si>
  <si>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</si>
  <si>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</si>
  <si>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</si>
  <si>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</si>
  <si>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</si>
  <si>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</si>
  <si>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</si>
  <si>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</si>
  <si>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</si>
  <si>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</si>
  <si>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</si>
  <si>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</si>
  <si>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</si>
  <si>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</si>
  <si>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</si>
  <si>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</si>
  <si>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</si>
  <si>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</si>
  <si>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</si>
  <si>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</si>
  <si>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</si>
  <si>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</si>
  <si>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</si>
  <si>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</si>
  <si>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</si>
  <si>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</si>
  <si>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</si>
  <si>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</si>
  <si>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</si>
  <si>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</si>
  <si>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</si>
  <si>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</si>
  <si>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</si>
  <si>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</si>
  <si>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</si>
  <si>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</si>
  <si>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</si>
  <si>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</si>
  <si>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</si>
  <si>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</si>
  <si>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</si>
  <si>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</si>
  <si>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</si>
  <si>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</si>
  <si>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</si>
  <si>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</si>
  <si>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</si>
  <si>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</si>
  <si>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</si>
  <si>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</si>
  <si>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</si>
  <si>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</si>
  <si>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</si>
  <si>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</si>
  <si>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</si>
  <si>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</si>
  <si>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</si>
  <si>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</si>
  <si>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</si>
  <si>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</si>
  <si>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</si>
  <si>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</si>
  <si>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</si>
  <si>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</si>
  <si>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</si>
  <si>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</si>
  <si>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</si>
  <si>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</si>
  <si>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</si>
  <si>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</si>
  <si>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</si>
  <si>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</si>
  <si>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</si>
  <si>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</si>
  <si>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</si>
  <si>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</si>
  <si>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</si>
  <si>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</si>
  <si>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</si>
  <si>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</si>
  <si>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</si>
  <si>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</si>
  <si>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</si>
  <si>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</si>
  <si>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</si>
  <si>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</si>
  <si>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</si>
  <si>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</si>
  <si>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</si>
  <si>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</si>
  <si>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</si>
  <si>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</si>
  <si>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</si>
  <si>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</si>
  <si>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</si>
  <si>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</si>
  <si>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</si>
  <si>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</si>
  <si>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</si>
  <si>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</si>
  <si>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</si>
  <si>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</si>
  <si>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</si>
  <si>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</si>
  <si>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</si>
  <si>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</si>
  <si>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</si>
  <si>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</si>
  <si>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</si>
  <si>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</si>
  <si>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</si>
  <si>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</si>
  <si>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</si>
  <si>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</si>
  <si>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</si>
  <si>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</si>
  <si>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</si>
  <si>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</si>
  <si>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</si>
  <si>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</si>
  <si>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</si>
  <si>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</si>
  <si>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</si>
  <si>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</si>
  <si>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</si>
  <si>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</si>
  <si>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</si>
  <si>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</si>
  <si>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</si>
  <si>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</si>
  <si>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</si>
  <si>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</si>
  <si>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</si>
  <si>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</si>
  <si>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</si>
  <si>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</si>
  <si>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</si>
  <si>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</si>
  <si>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</si>
  <si>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</si>
  <si>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</si>
  <si>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</si>
  <si>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</si>
  <si>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</si>
  <si>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</si>
  <si>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</si>
  <si>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</si>
  <si>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</si>
  <si>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</si>
  <si>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</si>
  <si>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</si>
  <si>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</si>
  <si>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</si>
  <si>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</si>
  <si>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</si>
  <si>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</si>
  <si>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</si>
  <si>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</si>
  <si>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</si>
  <si>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</si>
  <si>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</si>
  <si>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</si>
  <si>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</si>
  <si>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</si>
  <si>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</si>
  <si>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</si>
  <si>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</si>
  <si>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</si>
  <si>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</si>
  <si>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</si>
  <si>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</si>
  <si>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</si>
  <si>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</si>
  <si>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</si>
  <si>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</si>
  <si>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</si>
  <si>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</si>
  <si>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</si>
  <si>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</si>
  <si>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</si>
  <si>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</si>
  <si>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</si>
  <si>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</si>
  <si>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</si>
  <si>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</si>
  <si>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</si>
  <si>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</si>
  <si>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</si>
  <si>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</si>
  <si>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</si>
  <si>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</si>
  <si>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</si>
  <si>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</si>
  <si>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</si>
  <si>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</si>
  <si>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</si>
  <si>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</si>
  <si>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</si>
  <si>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</si>
  <si>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</si>
  <si>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</si>
  <si>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</si>
  <si>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</si>
  <si>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</si>
  <si>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</si>
  <si>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</si>
  <si>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</si>
  <si>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</si>
  <si>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</si>
  <si>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</si>
  <si>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</si>
  <si>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</si>
  <si>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</si>
  <si>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</si>
  <si>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</si>
  <si>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</si>
  <si>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</si>
  <si>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</si>
  <si>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</si>
  <si>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</si>
  <si>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</si>
  <si>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</si>
  <si>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</si>
  <si>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</si>
  <si>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</si>
  <si>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</si>
  <si>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</si>
  <si>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</si>
  <si>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</si>
  <si>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</si>
  <si>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</si>
  <si>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</si>
  <si>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</si>
  <si>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</si>
  <si>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</si>
  <si>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</si>
  <si>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</si>
  <si>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</si>
  <si>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</si>
  <si>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</si>
  <si>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</si>
  <si>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</si>
  <si>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</si>
  <si>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</si>
  <si>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</si>
  <si>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</si>
  <si>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</si>
  <si>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</si>
  <si>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</si>
  <si>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</si>
  <si>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</si>
  <si>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</si>
  <si>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</si>
  <si>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</si>
  <si>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</si>
  <si>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</si>
  <si>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</si>
  <si>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</si>
  <si>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</si>
  <si>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</si>
  <si>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</si>
  <si>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</si>
  <si>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</si>
  <si>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</si>
  <si>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</si>
  <si>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</si>
  <si>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</si>
  <si>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</si>
  <si>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</si>
  <si>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</si>
  <si>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</si>
  <si>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</si>
  <si>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</si>
  <si>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</si>
  <si>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</si>
  <si>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</si>
  <si>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</si>
  <si>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</si>
  <si>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</si>
  <si>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</si>
  <si>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</si>
  <si>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</si>
  <si>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</si>
  <si>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</si>
  <si>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</si>
  <si>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</si>
  <si>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</si>
  <si>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</si>
  <si>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</si>
  <si>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</si>
  <si>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</si>
  <si>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</si>
  <si>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</si>
  <si>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</si>
  <si>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</si>
  <si>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</si>
  <si>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</si>
  <si>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</si>
  <si>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</si>
  <si>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</si>
  <si>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</si>
  <si>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</si>
  <si>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</si>
  <si>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</si>
  <si>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</si>
  <si>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</si>
  <si>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</si>
  <si>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</si>
  <si>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</si>
  <si>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</si>
  <si>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</si>
  <si>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</si>
  <si>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</si>
  <si>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</si>
  <si>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</si>
  <si>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</si>
  <si>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</si>
  <si>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</si>
  <si>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</si>
  <si>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</si>
  <si>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</si>
  <si>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</si>
  <si>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</si>
  <si>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</si>
  <si>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</si>
  <si>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</si>
  <si>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</si>
  <si>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</si>
  <si>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</si>
  <si>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</si>
  <si>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</si>
  <si>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</si>
  <si>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</si>
  <si>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</si>
  <si>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</si>
  <si>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</si>
  <si>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</si>
  <si>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</si>
  <si>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</si>
  <si>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</si>
  <si>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</si>
  <si>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</si>
  <si>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</si>
  <si>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</si>
  <si>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</si>
  <si>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</si>
  <si>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</si>
  <si>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</si>
  <si>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</si>
  <si>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</si>
  <si>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</si>
  <si>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</si>
  <si>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</si>
  <si>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</si>
  <si>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</si>
  <si>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</si>
  <si>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</si>
  <si>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</si>
  <si>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</si>
  <si>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</si>
  <si>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</si>
  <si>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</si>
  <si>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</si>
  <si>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</si>
  <si>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</si>
  <si>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</si>
  <si>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</si>
  <si>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</si>
  <si>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</si>
  <si>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</si>
  <si>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</si>
  <si>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</si>
  <si>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</si>
  <si>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</si>
  <si>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</si>
  <si>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</si>
  <si>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</si>
  <si>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</si>
  <si>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</si>
  <si>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</si>
  <si>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</si>
  <si>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</si>
  <si>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</si>
  <si>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</si>
  <si>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</si>
  <si>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</si>
  <si>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</si>
  <si>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</si>
  <si>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</si>
  <si>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</si>
  <si>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</si>
  <si>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</si>
  <si>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</si>
  <si>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</si>
  <si>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</si>
  <si>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</si>
  <si>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</si>
  <si>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</si>
  <si>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</si>
  <si>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</si>
  <si>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</si>
  <si>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</si>
  <si>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</si>
  <si>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</si>
  <si>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</si>
  <si>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</si>
  <si>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</si>
  <si>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</si>
  <si>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</si>
  <si>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</si>
  <si>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</si>
  <si>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</si>
  <si>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</si>
  <si>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</si>
  <si>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</si>
  <si>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</si>
  <si>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</si>
  <si>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</si>
  <si>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</si>
  <si>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</si>
  <si>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</si>
  <si>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</si>
  <si>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</si>
  <si>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</si>
  <si>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</si>
  <si>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</si>
  <si>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</si>
  <si>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</si>
  <si>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</si>
  <si>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</si>
  <si>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</si>
  <si>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</si>
  <si>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</si>
  <si>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</si>
  <si>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</si>
  <si>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</si>
  <si>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</si>
  <si>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</si>
  <si>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</si>
  <si>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</si>
  <si>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</si>
  <si>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</si>
  <si>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</si>
  <si>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</si>
  <si>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</si>
  <si>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</si>
  <si>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</si>
  <si>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</si>
  <si>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</si>
  <si>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</si>
  <si>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</si>
  <si>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</si>
  <si>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</si>
  <si>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</si>
  <si>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</si>
  <si>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</si>
  <si>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</si>
  <si>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</si>
  <si>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</si>
  <si>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</si>
  <si>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</si>
  <si>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</si>
  <si>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</si>
  <si>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</si>
  <si>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</si>
  <si>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</si>
  <si>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</si>
  <si>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</si>
  <si>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</si>
  <si>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</si>
  <si>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</si>
  <si>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</si>
  <si>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</si>
  <si>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</si>
  <si>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</si>
  <si>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</si>
  <si>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</si>
  <si>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</si>
  <si>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</si>
  <si>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</si>
  <si>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</si>
  <si>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</si>
  <si>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</si>
  <si>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</si>
  <si>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</si>
  <si>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</si>
  <si>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</si>
  <si>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</si>
  <si>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</si>
  <si>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</si>
  <si>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</si>
  <si>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</si>
  <si>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</si>
  <si>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</si>
  <si>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</si>
  <si>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</si>
  <si>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</si>
  <si>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</si>
  <si>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</si>
  <si>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</si>
  <si>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</si>
  <si>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</si>
  <si>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</si>
  <si>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</si>
  <si>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</si>
  <si>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</si>
  <si>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</si>
  <si>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</si>
  <si>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</si>
  <si>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</si>
  <si>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</si>
  <si>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</si>
  <si>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</si>
  <si>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</si>
  <si>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</si>
  <si>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</si>
  <si>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</si>
  <si>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</si>
  <si>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</si>
  <si>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</si>
  <si>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</si>
  <si>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</si>
  <si>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</si>
  <si>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</si>
  <si>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</si>
  <si>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</si>
  <si>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</si>
  <si>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</si>
  <si>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</si>
  <si>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</si>
  <si>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</si>
  <si>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</si>
  <si>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</si>
  <si>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</si>
  <si>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</si>
  <si>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</si>
  <si>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</si>
  <si>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</si>
  <si>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</si>
  <si>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</si>
  <si>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</si>
  <si>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</si>
  <si>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</si>
  <si>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</si>
  <si>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</si>
  <si>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</si>
  <si>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</si>
  <si>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</si>
  <si>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</si>
  <si>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</si>
  <si>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</si>
  <si>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</si>
  <si>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</si>
  <si>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</si>
  <si>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</si>
  <si>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</si>
  <si>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</si>
  <si>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</si>
  <si>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</si>
  <si>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</si>
  <si>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</si>
  <si>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</si>
  <si>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</si>
  <si>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</si>
  <si>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</si>
  <si>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</si>
  <si>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</si>
  <si>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</si>
  <si>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</si>
  <si>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</si>
  <si>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</si>
  <si>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</si>
  <si>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</si>
  <si>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</si>
  <si>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</si>
  <si>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</si>
  <si>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</si>
  <si>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</si>
  <si>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</si>
  <si>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</si>
  <si>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</si>
  <si>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</si>
  <si>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</si>
  <si>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</si>
  <si>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</si>
  <si>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</si>
  <si>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</si>
  <si>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</si>
  <si>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</si>
  <si>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</si>
  <si>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</si>
  <si>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</si>
  <si>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</si>
  <si>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</si>
  <si>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</si>
  <si>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</si>
  <si>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</si>
  <si>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</si>
  <si>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</si>
  <si>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</si>
  <si>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</si>
  <si>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</si>
  <si>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</si>
  <si>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</si>
  <si>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</si>
  <si>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</si>
  <si>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</si>
  <si>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</si>
  <si>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</si>
  <si>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</si>
  <si>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</si>
  <si>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</si>
  <si>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</si>
  <si>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</si>
  <si>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</si>
  <si>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</si>
  <si>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</si>
  <si>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</si>
  <si>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</si>
  <si>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</si>
  <si>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</si>
  <si>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</si>
  <si>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</si>
  <si>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</si>
  <si>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</si>
  <si>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</si>
  <si>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</si>
  <si>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</si>
  <si>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</si>
  <si>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</si>
  <si>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</si>
  <si>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</si>
  <si>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</si>
  <si>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</si>
  <si>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</si>
  <si>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</si>
  <si>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</si>
  <si>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</si>
  <si>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</si>
  <si>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</si>
  <si>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</si>
  <si>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</si>
  <si>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</si>
  <si>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</si>
  <si>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</si>
  <si>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</si>
  <si>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</si>
  <si>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</si>
  <si>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</si>
  <si>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</si>
  <si>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</si>
  <si>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</si>
  <si>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</si>
  <si>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</si>
  <si>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</si>
  <si>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</si>
  <si>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</si>
  <si>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</si>
  <si>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</si>
  <si>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</si>
  <si>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</si>
  <si>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</si>
  <si>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</si>
  <si>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</si>
  <si>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</si>
  <si>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</si>
  <si>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</si>
  <si>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</si>
  <si>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</si>
  <si>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Broutards</t>
  </si>
  <si>
    <t>Z3_OLBV_T3_s4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</si>
</sst>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4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76.685000000000002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195.01262184896743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0.83194969565217392</v>
      </c>
      <c r="H5" s="143">
        <f>CdTrp1!C215+CdTrp2!C215+CdTrp3!C215+CdTrp4!C215</f>
        <v>0.83194969565217392</v>
      </c>
      <c r="I5" s="143">
        <f>CdTrp1!D215+CdTrp2!D215+CdTrp3!D215+CdTrp4!D215</f>
        <v>0.75143843478260874</v>
      </c>
      <c r="J5" s="143">
        <f>CdTrp1!E215+CdTrp2!E215+CdTrp3!E215+CdTrp4!E215</f>
        <v>0.75143843478260874</v>
      </c>
      <c r="K5" s="143">
        <f>CdTrp1!F215+CdTrp2!F215+CdTrp3!F215+CdTrp4!F215</f>
        <v>0.83194969565217392</v>
      </c>
      <c r="L5" s="143">
        <f>CdTrp1!G215+CdTrp2!G215+CdTrp3!G215+CdTrp4!G215</f>
        <v>6.0942336136956534</v>
      </c>
      <c r="M5" s="143">
        <f>CdTrp1!H215+CdTrp2!H215+CdTrp3!H215+CdTrp4!H215</f>
        <v>8.3640117521739139</v>
      </c>
      <c r="N5" s="143">
        <f>CdTrp1!I215+CdTrp2!I215+CdTrp3!I215+CdTrp4!I215</f>
        <v>5.8448730717391326</v>
      </c>
      <c r="O5" s="143">
        <f>CdTrp1!J215+CdTrp2!J215+CdTrp3!J215+CdTrp4!J215</f>
        <v>7.0158149423478262</v>
      </c>
      <c r="P5" s="143">
        <f>CdTrp1!K215+CdTrp2!K215+CdTrp3!K215+CdTrp4!K215</f>
        <v>6.3753888240000016</v>
      </c>
      <c r="Q5" s="143">
        <f>CdTrp1!L215+CdTrp2!L215+CdTrp3!L215+CdTrp4!L215</f>
        <v>9.295983379565218</v>
      </c>
      <c r="R5" s="143">
        <f>CdTrp1!M215+CdTrp2!M215+CdTrp3!M215+CdTrp4!M215</f>
        <v>9.295983379565218</v>
      </c>
      <c r="S5" s="143">
        <f>CdTrp1!N215+CdTrp2!N215+CdTrp3!N215+CdTrp4!N215</f>
        <v>9.6058494922173931</v>
      </c>
      <c r="T5" s="143">
        <f>CdTrp1!O215+CdTrp2!O215+CdTrp3!O215+CdTrp4!O215</f>
        <v>9.6058494922173931</v>
      </c>
      <c r="U5" s="143">
        <f>CdTrp1!P215+CdTrp2!P215+CdTrp3!P215+CdTrp4!P215</f>
        <v>9.6058494922173931</v>
      </c>
      <c r="V5" s="143">
        <f>CdTrp1!Q215+CdTrp2!Q215+CdTrp3!Q215+CdTrp4!Q215</f>
        <v>9.6058494922173931</v>
      </c>
      <c r="W5" s="143">
        <f>CdTrp1!R215+CdTrp2!R215+CdTrp3!R215+CdTrp4!R215</f>
        <v>9.5573106391304368</v>
      </c>
      <c r="X5" s="143">
        <f>CdTrp1!S215+CdTrp2!S215+CdTrp3!S215+CdTrp4!S215</f>
        <v>9.5573106391304368</v>
      </c>
      <c r="Y5" s="143">
        <f>CdTrp1!T215+CdTrp2!T215+CdTrp3!T215+CdTrp4!T215</f>
        <v>3.7094683363043481</v>
      </c>
      <c r="Z5" s="143">
        <f>CdTrp1!U215+CdTrp2!U215+CdTrp3!U215+CdTrp4!U215</f>
        <v>5.9134108630434792</v>
      </c>
      <c r="AA5" s="143">
        <f>CdTrp1!V215+CdTrp2!V215+CdTrp3!V215+CdTrp4!V215</f>
        <v>0.80511260869565215</v>
      </c>
      <c r="AB5" s="143">
        <f>CdTrp1!W215+CdTrp2!W215+CdTrp3!W215+CdTrp4!W215</f>
        <v>0.80511260869565215</v>
      </c>
      <c r="AC5" s="143">
        <f>CdTrp1!X215+CdTrp2!X215+CdTrp3!X215+CdTrp4!X215</f>
        <v>0.83194969565217392</v>
      </c>
      <c r="AD5" s="143">
        <f>CdTrp1!Y215+CdTrp2!Y215+CdTrp3!Y215+CdTrp4!Y215</f>
        <v>0.83194969565217392</v>
      </c>
      <c r="AE5" s="153"/>
      <c r="AF5" s="144">
        <f>AF8+AF9</f>
        <v>165.22742297478268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1.4217839999999997</v>
      </c>
      <c r="L6" s="143">
        <f>CdTrp1!G216+CdTrp2!G216+CdTrp3!G216+CdTrp4!G216</f>
        <v>1.4217839999999997</v>
      </c>
      <c r="M6" s="143">
        <f>CdTrp1!H216+CdTrp2!H216+CdTrp3!H216+CdTrp4!H216</f>
        <v>1.3759199999999998</v>
      </c>
      <c r="N6" s="143">
        <f>CdTrp1!I216+CdTrp2!I216+CdTrp3!I216+CdTrp4!I216</f>
        <v>3.8686724999999997</v>
      </c>
      <c r="O6" s="143">
        <f>CdTrp1!J216+CdTrp2!J216+CdTrp3!J216+CdTrp4!J216</f>
        <v>3.99762825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1.4217839999999997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2.8162259999999995</v>
      </c>
      <c r="Z6" s="143">
        <f>CdTrp1!U216+CdTrp2!U216+CdTrp3!U216+CdTrp4!U216</f>
        <v>2.8162259999999995</v>
      </c>
      <c r="AA6" s="143">
        <f>CdTrp1!V216+CdTrp2!V216+CdTrp3!V216+CdTrp4!V216</f>
        <v>2.8003499999999999</v>
      </c>
      <c r="AB6" s="143">
        <f>CdTrp1!W216+CdTrp2!W216+CdTrp3!W216+CdTrp4!W216</f>
        <v>2.8003499999999999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181.79999999999998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0.83194969565217392</v>
      </c>
      <c r="H8" s="143">
        <f t="shared" ref="H8:AD8" si="0">SUM(H5:H7)</f>
        <v>0.83194969565217392</v>
      </c>
      <c r="I8" s="143">
        <f t="shared" si="0"/>
        <v>0.75143843478260874</v>
      </c>
      <c r="J8" s="143">
        <f t="shared" si="0"/>
        <v>0.75143843478260874</v>
      </c>
      <c r="K8" s="143">
        <f t="shared" si="0"/>
        <v>2.2537336956521736</v>
      </c>
      <c r="L8" s="143">
        <f t="shared" si="0"/>
        <v>7.5160176136956531</v>
      </c>
      <c r="M8" s="143">
        <f t="shared" si="0"/>
        <v>9.7399317521739128</v>
      </c>
      <c r="N8" s="143">
        <f t="shared" si="0"/>
        <v>9.7135455717391324</v>
      </c>
      <c r="O8" s="143">
        <f t="shared" si="0"/>
        <v>11.013443192347825</v>
      </c>
      <c r="P8" s="143">
        <f t="shared" si="0"/>
        <v>10.373017074000002</v>
      </c>
      <c r="Q8" s="143">
        <f t="shared" si="0"/>
        <v>10.671903379565219</v>
      </c>
      <c r="R8" s="143">
        <f t="shared" si="0"/>
        <v>10.671903379565219</v>
      </c>
      <c r="S8" s="143">
        <f t="shared" si="0"/>
        <v>11.027633492217394</v>
      </c>
      <c r="T8" s="143">
        <f t="shared" si="0"/>
        <v>11.027633492217394</v>
      </c>
      <c r="U8" s="143">
        <f t="shared" si="0"/>
        <v>11.027633492217394</v>
      </c>
      <c r="V8" s="143">
        <f t="shared" si="0"/>
        <v>11.027633492217394</v>
      </c>
      <c r="W8" s="143">
        <f t="shared" si="0"/>
        <v>10.933230639130436</v>
      </c>
      <c r="X8" s="143">
        <f t="shared" si="0"/>
        <v>10.933230639130436</v>
      </c>
      <c r="Y8" s="143">
        <f t="shared" si="0"/>
        <v>6.5256943363043476</v>
      </c>
      <c r="Z8" s="143">
        <f t="shared" si="0"/>
        <v>8.7296368630434777</v>
      </c>
      <c r="AA8" s="143">
        <f t="shared" si="0"/>
        <v>3.6054626086956523</v>
      </c>
      <c r="AB8" s="143">
        <f t="shared" si="0"/>
        <v>3.6054626086956523</v>
      </c>
      <c r="AC8" s="143">
        <f t="shared" si="0"/>
        <v>0.83194969565217392</v>
      </c>
      <c r="AD8" s="143">
        <f t="shared" si="0"/>
        <v>0.83194969565217392</v>
      </c>
      <c r="AE8" s="153"/>
      <c r="AF8" s="144">
        <f>SUM(G8:AD8)</f>
        <v>165.22742297478268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38.5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</v>
      </c>
      <c r="H18" s="158">
        <f>G18/G17</f>
        <v>0.64935064935064934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13.5</v>
      </c>
      <c r="H19" s="158">
        <f>G19/G17</f>
        <v>0.35064935064935066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3" zoomScale="80" zoomScaleNormal="80" workbookViewId="0">
      <selection activeCell="R14" sqref="R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0.83194969565217392</v>
      </c>
      <c r="AT5" s="13">
        <f>'Conduite Trp'!H8</f>
        <v>0.83194969565217392</v>
      </c>
      <c r="AU5" s="13">
        <f>'Conduite Trp'!I8</f>
        <v>0.75143843478260874</v>
      </c>
      <c r="AV5" s="13">
        <f>'Conduite Trp'!J8</f>
        <v>0.75143843478260874</v>
      </c>
      <c r="AW5" s="13">
        <f>'Conduite Trp'!K8</f>
        <v>2.2537336956521736</v>
      </c>
      <c r="AX5" s="13">
        <f>'Conduite Trp'!L8</f>
        <v>7.5160176136956531</v>
      </c>
      <c r="AY5" s="13">
        <f>'Conduite Trp'!M8</f>
        <v>9.7399317521739128</v>
      </c>
      <c r="AZ5" s="13">
        <f>'Conduite Trp'!N8</f>
        <v>9.7135455717391324</v>
      </c>
      <c r="BA5" s="13">
        <f>'Conduite Trp'!O8</f>
        <v>11.013443192347825</v>
      </c>
      <c r="BB5" s="13">
        <f>'Conduite Trp'!P8</f>
        <v>10.373017074000002</v>
      </c>
      <c r="BC5" s="13">
        <f>'Conduite Trp'!Q8</f>
        <v>10.671903379565219</v>
      </c>
      <c r="BD5" s="13">
        <f>'Conduite Trp'!R8</f>
        <v>10.671903379565219</v>
      </c>
      <c r="BE5" s="13">
        <f>'Conduite Trp'!S8</f>
        <v>11.027633492217394</v>
      </c>
      <c r="BF5" s="13">
        <f>'Conduite Trp'!T8</f>
        <v>11.027633492217394</v>
      </c>
      <c r="BG5" s="13">
        <f>'Conduite Trp'!U8</f>
        <v>11.027633492217394</v>
      </c>
      <c r="BH5" s="13">
        <f>'Conduite Trp'!V8</f>
        <v>11.027633492217394</v>
      </c>
      <c r="BI5" s="13">
        <f>'Conduite Trp'!W8</f>
        <v>10.933230639130436</v>
      </c>
      <c r="BJ5" s="13">
        <f>'Conduite Trp'!X8</f>
        <v>10.933230639130436</v>
      </c>
      <c r="BK5" s="13">
        <f>'Conduite Trp'!Y8</f>
        <v>6.5256943363043476</v>
      </c>
      <c r="BL5" s="13">
        <f>'Conduite Trp'!Z8</f>
        <v>8.7296368630434777</v>
      </c>
      <c r="BM5" s="13">
        <f>'Conduite Trp'!AA8</f>
        <v>3.6054626086956523</v>
      </c>
      <c r="BN5" s="13">
        <f>'Conduite Trp'!AB8</f>
        <v>3.6054626086956523</v>
      </c>
      <c r="BO5" s="13">
        <f>'Conduite Trp'!AC8</f>
        <v>0.83194969565217392</v>
      </c>
      <c r="BP5" s="13">
        <f>'Conduite Trp'!AD8</f>
        <v>0.83194969565217392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324</v>
      </c>
      <c r="R7" s="39">
        <v>3.6</v>
      </c>
      <c r="S7" s="290" t="str">
        <f>VLOOKUP($Q7,[1]MEP!$A$5:$D$300,3)</f>
        <v>PP BONNE pâturage étalé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3.5</v>
      </c>
      <c r="W7" s="76">
        <f>VLOOKUP($Q7,[1]MEP!$A$4:$K$300,6)</f>
        <v>2.5</v>
      </c>
      <c r="X7" s="76">
        <f>VLOOKUP($Q7,[1]MEP!$A$4:$K$300,7)</f>
        <v>2.5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12.6</v>
      </c>
      <c r="AF7" s="61">
        <f t="shared" ref="AF7:AF26" si="1">$R7*W7</f>
        <v>9</v>
      </c>
      <c r="AG7" s="61">
        <f t="shared" ref="AG7:AG26" si="2">$R7*X7</f>
        <v>9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9.7399317521739128</v>
      </c>
      <c r="AZ7" s="61">
        <f t="shared" si="7"/>
        <v>9.7135455717391324</v>
      </c>
      <c r="BA7" s="61">
        <f t="shared" si="7"/>
        <v>11.013443192347825</v>
      </c>
      <c r="BB7" s="61">
        <f t="shared" si="7"/>
        <v>10.373017074000002</v>
      </c>
      <c r="BC7" s="61">
        <f t="shared" si="7"/>
        <v>10.671903379565219</v>
      </c>
      <c r="BD7" s="61">
        <f t="shared" si="7"/>
        <v>10.671903379565219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62.183744349391318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76.685000000000002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/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11.027633492217394</v>
      </c>
      <c r="BF8" s="61">
        <f t="shared" si="8"/>
        <v>11.027633492217394</v>
      </c>
      <c r="BG8" s="61">
        <f t="shared" si="8"/>
        <v>11.027633492217394</v>
      </c>
      <c r="BH8" s="61">
        <f t="shared" si="8"/>
        <v>11.027633492217394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44.110533968869575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76.685000000000002</v>
      </c>
      <c r="G9" s="81"/>
      <c r="H9" s="61">
        <f>SUM(L34:L43)</f>
        <v>9</v>
      </c>
      <c r="I9" s="81"/>
      <c r="J9" s="81"/>
      <c r="K9" s="93">
        <f>H9-F9</f>
        <v>-67.685000000000002</v>
      </c>
      <c r="L9" s="81"/>
      <c r="M9" s="100"/>
      <c r="P9">
        <v>3</v>
      </c>
      <c r="Q9" s="39">
        <v>228</v>
      </c>
      <c r="R9" s="39">
        <v>10.5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16.8</v>
      </c>
      <c r="AF9" s="61">
        <f t="shared" si="1"/>
        <v>14.7</v>
      </c>
      <c r="AG9" s="61">
        <f t="shared" si="2"/>
        <v>12.6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0.83194969565217392</v>
      </c>
      <c r="AT9" s="61">
        <f t="shared" ref="AT9:BP9" si="10">IF(AT$4=3,AT$5,0)</f>
        <v>0.83194969565217392</v>
      </c>
      <c r="AU9" s="61">
        <f t="shared" si="10"/>
        <v>0.75143843478260874</v>
      </c>
      <c r="AV9" s="61">
        <f t="shared" si="10"/>
        <v>0.75143843478260874</v>
      </c>
      <c r="AW9" s="61">
        <f t="shared" si="10"/>
        <v>2.2537336956521736</v>
      </c>
      <c r="AX9" s="61">
        <f t="shared" si="10"/>
        <v>7.5160176136956531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10.933230639130436</v>
      </c>
      <c r="BJ9" s="61">
        <f t="shared" si="10"/>
        <v>10.933230639130436</v>
      </c>
      <c r="BK9" s="61">
        <f t="shared" si="10"/>
        <v>6.5256943363043476</v>
      </c>
      <c r="BL9" s="61">
        <f t="shared" si="10"/>
        <v>8.7296368630434777</v>
      </c>
      <c r="BM9" s="61">
        <f t="shared" si="10"/>
        <v>3.6054626086956523</v>
      </c>
      <c r="BN9" s="61">
        <f t="shared" si="10"/>
        <v>3.6054626086956523</v>
      </c>
      <c r="BO9" s="61">
        <f t="shared" si="10"/>
        <v>0.83194969565217392</v>
      </c>
      <c r="BP9" s="61">
        <f t="shared" si="10"/>
        <v>0.83194969565217392</v>
      </c>
      <c r="BR9" s="61">
        <f t="shared" si="9"/>
        <v>58.933144656521733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0.5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0.25</v>
      </c>
      <c r="AF10" s="61">
        <f t="shared" si="1"/>
        <v>0.35</v>
      </c>
      <c r="AG10" s="61">
        <f t="shared" si="2"/>
        <v>0.95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1.4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0.4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0.72000000000000008</v>
      </c>
      <c r="AF11" s="61">
        <f t="shared" si="1"/>
        <v>0.48</v>
      </c>
      <c r="AG11" s="61">
        <f t="shared" si="2"/>
        <v>1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2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303</v>
      </c>
      <c r="R13" s="39">
        <v>3.5</v>
      </c>
      <c r="S13" s="290" t="str">
        <f>VLOOKUP($Q13,[1]MEP!$A$5:$D$300,3)</f>
        <v>PP EXCELLENTE PATUREE ovn</v>
      </c>
      <c r="T13" s="76" t="str">
        <f>VLOOKUP($Q13,[1]MEP!$A$5:$D$300,4)</f>
        <v>zone 3</v>
      </c>
      <c r="U13" s="76" t="str">
        <f>VLOOKUP($Q13,[1]MEP!$A$4:$K$300,2)</f>
        <v>P</v>
      </c>
      <c r="V13" s="76">
        <f>VLOOKUP($Q13,[1]MEP!$A$4:$K$300,5)</f>
        <v>3.5</v>
      </c>
      <c r="W13" s="76">
        <f>VLOOKUP($Q13,[1]MEP!$A$4:$K$300,6)</f>
        <v>3.5</v>
      </c>
      <c r="X13" s="76">
        <f>VLOOKUP($Q13,[1]MEP!$A$4:$K$300,7)</f>
        <v>3.5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12.25</v>
      </c>
      <c r="AF13" s="61">
        <f t="shared" si="1"/>
        <v>12.25</v>
      </c>
      <c r="AG13" s="61">
        <f t="shared" si="2"/>
        <v>12.25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0.83194969565217392</v>
      </c>
      <c r="AT15" s="13">
        <f>'Conduite Trp'!H5</f>
        <v>0.83194969565217392</v>
      </c>
      <c r="AU15" s="13">
        <f>'Conduite Trp'!I5</f>
        <v>0.75143843478260874</v>
      </c>
      <c r="AV15" s="13">
        <f>'Conduite Trp'!J5</f>
        <v>0.75143843478260874</v>
      </c>
      <c r="AW15" s="13">
        <f>'Conduite Trp'!K5</f>
        <v>0.83194969565217392</v>
      </c>
      <c r="AX15" s="13">
        <f>'Conduite Trp'!L5</f>
        <v>6.0942336136956534</v>
      </c>
      <c r="AY15" s="13">
        <f>'Conduite Trp'!M5</f>
        <v>8.3640117521739139</v>
      </c>
      <c r="AZ15" s="13">
        <f>'Conduite Trp'!N5</f>
        <v>5.8448730717391326</v>
      </c>
      <c r="BA15" s="13">
        <f>'Conduite Trp'!O5</f>
        <v>7.0158149423478262</v>
      </c>
      <c r="BB15" s="13">
        <f>'Conduite Trp'!P5</f>
        <v>6.3753888240000016</v>
      </c>
      <c r="BC15" s="13">
        <f>'Conduite Trp'!Q5</f>
        <v>9.295983379565218</v>
      </c>
      <c r="BD15" s="13">
        <f>'Conduite Trp'!R5</f>
        <v>9.295983379565218</v>
      </c>
      <c r="BE15" s="13">
        <f>'Conduite Trp'!S5</f>
        <v>9.6058494922173931</v>
      </c>
      <c r="BF15" s="13">
        <f>'Conduite Trp'!T5</f>
        <v>9.6058494922173931</v>
      </c>
      <c r="BG15" s="13">
        <f>'Conduite Trp'!U5</f>
        <v>9.6058494922173931</v>
      </c>
      <c r="BH15" s="13">
        <f>'Conduite Trp'!V5</f>
        <v>9.6058494922173931</v>
      </c>
      <c r="BI15" s="13">
        <f>'Conduite Trp'!W5</f>
        <v>9.5573106391304368</v>
      </c>
      <c r="BJ15" s="13">
        <f>'Conduite Trp'!X5</f>
        <v>9.5573106391304368</v>
      </c>
      <c r="BK15" s="13">
        <f>'Conduite Trp'!Y5</f>
        <v>3.7094683363043481</v>
      </c>
      <c r="BL15" s="13">
        <f>'Conduite Trp'!Z5</f>
        <v>5.9134108630434792</v>
      </c>
      <c r="BM15" s="13">
        <f>'Conduite Trp'!AA5</f>
        <v>0.80511260869565215</v>
      </c>
      <c r="BN15" s="13">
        <f>'Conduite Trp'!AB5</f>
        <v>0.80511260869565215</v>
      </c>
      <c r="BO15" s="13">
        <f>'Conduite Trp'!AC5</f>
        <v>0.83194969565217392</v>
      </c>
      <c r="BP15" s="13">
        <f>'Conduite Trp'!AD5</f>
        <v>0.83194969565217392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1.4217839999999997</v>
      </c>
      <c r="AX16" s="13">
        <f>'Conduite Trp'!L6</f>
        <v>1.4217839999999997</v>
      </c>
      <c r="AY16" s="13">
        <f>'Conduite Trp'!M6</f>
        <v>1.3759199999999998</v>
      </c>
      <c r="AZ16" s="13">
        <f>'Conduite Trp'!N6</f>
        <v>3.8686724999999997</v>
      </c>
      <c r="BA16" s="13">
        <f>'Conduite Trp'!O6</f>
        <v>3.99762825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1.4217839999999997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2.8162259999999995</v>
      </c>
      <c r="BL16" s="13">
        <f>'Conduite Trp'!Z6</f>
        <v>2.8162259999999995</v>
      </c>
      <c r="BM16" s="13">
        <f>'Conduite Trp'!AA6</f>
        <v>2.8003499999999999</v>
      </c>
      <c r="BN16" s="13">
        <f>'Conduite Trp'!AB6</f>
        <v>2.8003499999999999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8.3640117521739139</v>
      </c>
      <c r="AZ19" s="61">
        <f t="shared" si="15"/>
        <v>5.8448730717391326</v>
      </c>
      <c r="BA19" s="61">
        <f t="shared" si="15"/>
        <v>7.0158149423478262</v>
      </c>
      <c r="BB19" s="61">
        <f t="shared" si="15"/>
        <v>6.3753888240000016</v>
      </c>
      <c r="BC19" s="61">
        <f t="shared" si="15"/>
        <v>9.295983379565218</v>
      </c>
      <c r="BD19" s="61">
        <f t="shared" si="15"/>
        <v>9.295983379565218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46.19205534939131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9.6058494922173931</v>
      </c>
      <c r="BF20" s="61">
        <f t="shared" si="16"/>
        <v>9.6058494922173931</v>
      </c>
      <c r="BG20" s="61">
        <f t="shared" si="16"/>
        <v>9.6058494922173931</v>
      </c>
      <c r="BH20" s="61">
        <f t="shared" si="16"/>
        <v>9.6058494922173931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38.423397968869573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0.83194969565217392</v>
      </c>
      <c r="AT21" s="61">
        <f t="shared" ref="AT21:BP21" si="18">IF(AT$4=3,AT$15,0)</f>
        <v>0.83194969565217392</v>
      </c>
      <c r="AU21" s="61">
        <f t="shared" si="18"/>
        <v>0.75143843478260874</v>
      </c>
      <c r="AV21" s="61">
        <f t="shared" si="18"/>
        <v>0.75143843478260874</v>
      </c>
      <c r="AW21" s="61">
        <f t="shared" si="18"/>
        <v>0.83194969565217392</v>
      </c>
      <c r="AX21" s="61">
        <f t="shared" si="18"/>
        <v>6.0942336136956534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9.5573106391304368</v>
      </c>
      <c r="BJ21" s="61">
        <f t="shared" si="18"/>
        <v>9.5573106391304368</v>
      </c>
      <c r="BK21" s="61">
        <f t="shared" si="18"/>
        <v>3.7094683363043481</v>
      </c>
      <c r="BL21" s="61">
        <f t="shared" si="18"/>
        <v>5.9134108630434792</v>
      </c>
      <c r="BM21" s="61">
        <f t="shared" si="18"/>
        <v>0.80511260869565215</v>
      </c>
      <c r="BN21" s="61">
        <f t="shared" si="18"/>
        <v>0.80511260869565215</v>
      </c>
      <c r="BO21" s="61">
        <f t="shared" si="18"/>
        <v>0.83194969565217392</v>
      </c>
      <c r="BP21" s="61">
        <f t="shared" si="18"/>
        <v>0.83194969565217392</v>
      </c>
      <c r="BR21" s="61">
        <f t="shared" si="17"/>
        <v>42.104584656521737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62.731200000000001</v>
      </c>
      <c r="E24" s="61">
        <f t="shared" si="21"/>
        <v>42.573999999999998</v>
      </c>
      <c r="F24" s="61">
        <f t="shared" si="21"/>
        <v>70.040999999999997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76.254159999999999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62.183744349391318</v>
      </c>
      <c r="E25" s="61">
        <f>BR8</f>
        <v>44.110533968869575</v>
      </c>
      <c r="F25" s="61">
        <f>BR9</f>
        <v>58.933144656521733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181.79999999999998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0.54745565060868273</v>
      </c>
      <c r="E27" s="93">
        <f t="shared" si="23"/>
        <v>-1.5365339688695769</v>
      </c>
      <c r="F27" s="93">
        <f t="shared" si="23"/>
        <v>11.107855343478263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-105.54583999999998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46.9</v>
      </c>
      <c r="AF27" s="75">
        <f t="shared" ref="AF27:AJ27" si="24">SUM(AF7:AF26)</f>
        <v>36.78</v>
      </c>
      <c r="AG27" s="75">
        <f t="shared" si="24"/>
        <v>45.643999999999998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27.367999999999999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1.3759199999999998</v>
      </c>
      <c r="AZ27" s="61">
        <f t="shared" si="25"/>
        <v>3.8686724999999997</v>
      </c>
      <c r="BA27" s="61">
        <f t="shared" si="25"/>
        <v>3.99762825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15.991689000000001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1.4217839999999997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5.6871359999999989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0.5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1.75</v>
      </c>
      <c r="AF29" s="61">
        <f t="shared" ref="AF29:AF48" si="29">$R29*W29</f>
        <v>1.3</v>
      </c>
      <c r="AG29" s="61">
        <f t="shared" ref="AG29:AG48" si="30">$R29*X29</f>
        <v>0.75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1.4217839999999997</v>
      </c>
      <c r="AX29" s="61">
        <f t="shared" si="35"/>
        <v>1.4217839999999997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2.8162259999999995</v>
      </c>
      <c r="BL29" s="61">
        <f t="shared" si="35"/>
        <v>2.8162259999999995</v>
      </c>
      <c r="BM29" s="61">
        <f t="shared" si="35"/>
        <v>2.8003499999999999</v>
      </c>
      <c r="BN29" s="61">
        <f t="shared" si="35"/>
        <v>2.8003499999999999</v>
      </c>
      <c r="BO29" s="61">
        <f t="shared" si="35"/>
        <v>0</v>
      </c>
      <c r="BP29" s="61">
        <f t="shared" si="35"/>
        <v>0</v>
      </c>
      <c r="BR29" s="61">
        <f t="shared" si="27"/>
        <v>16.82856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3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3.21</v>
      </c>
      <c r="AF31" s="61">
        <f t="shared" si="29"/>
        <v>4.4939999999999998</v>
      </c>
      <c r="AG31" s="61">
        <f t="shared" si="30"/>
        <v>7.0620000000000012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10.914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15.831200000000001</v>
      </c>
      <c r="AF49" s="75">
        <f t="shared" ref="AF49" si="50">SUM(AF29:AF48)</f>
        <v>5.7939999999999996</v>
      </c>
      <c r="AG49" s="75">
        <f t="shared" ref="AG49" si="51">SUM(AG29:AG48)</f>
        <v>24.397000000000002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48.886160000000004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46.9</v>
      </c>
      <c r="E72" s="61">
        <f t="shared" ref="E72:H72" si="69">AF27</f>
        <v>36.78</v>
      </c>
      <c r="F72" s="61">
        <f t="shared" si="69"/>
        <v>45.643999999999998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76.254159999999999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46.19205534939131</v>
      </c>
      <c r="E73" s="61">
        <f>BR20</f>
        <v>38.423397968869573</v>
      </c>
      <c r="F73" s="61">
        <f>BR21</f>
        <v>42.104584656521737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181.79999999999998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0.70794465060868816</v>
      </c>
      <c r="E75" s="93">
        <f t="shared" ref="E75:I75" si="71">E72-E73</f>
        <v>-1.6433979688695715</v>
      </c>
      <c r="F75" s="93">
        <f t="shared" si="71"/>
        <v>3.5394153434782609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-105.54583999999998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15.831200000000001</v>
      </c>
      <c r="E82" s="61">
        <f t="shared" ref="E82:H82" si="72">AF49</f>
        <v>5.7939999999999996</v>
      </c>
      <c r="F82" s="61">
        <f t="shared" si="72"/>
        <v>24.397000000000002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15.991689000000001</v>
      </c>
      <c r="E83" s="61">
        <f>BR28</f>
        <v>5.6871359999999989</v>
      </c>
      <c r="F83" s="61">
        <f>BR29</f>
        <v>16.82856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-0.1604890000000001</v>
      </c>
      <c r="E85" s="93">
        <f t="shared" ref="E85:H85" si="73">E82-E83</f>
        <v>0.10686400000000074</v>
      </c>
      <c r="F85" s="93">
        <f t="shared" si="73"/>
        <v>7.5684400000000025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topLeftCell="A2" zoomScale="80" workbookViewId="0">
      <selection activeCell="O19" sqref="O19:Q31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</v>
      </c>
      <c r="L3" s="8">
        <f t="shared" ref="L3:L32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2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0</v>
      </c>
      <c r="L5" s="8">
        <f t="shared" si="8"/>
        <v>0</v>
      </c>
      <c r="M5" s="10">
        <f>IF(I5=$Y$11,SQRT(L5*10000),SQRT(Parcellaire!L5*10000)/$AC$12)</f>
        <v>0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0</v>
      </c>
      <c r="U5" s="10">
        <f t="shared" si="5"/>
        <v>0</v>
      </c>
      <c r="V5" s="27">
        <f t="shared" si="6"/>
        <v>0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2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</v>
      </c>
      <c r="L8" s="8">
        <f t="shared" si="8"/>
        <v>0</v>
      </c>
      <c r="M8" s="10">
        <f>IF(I8=$Y$11,SQRT(L8*10000),SQRT(Parcellaire!L8*10000)/$AC$12)</f>
        <v>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0</v>
      </c>
      <c r="U8" s="10">
        <f t="shared" ref="U8:U9" si="13">IF(C8=2,Q8*M8,0)</f>
        <v>0</v>
      </c>
      <c r="V8" s="27">
        <f t="shared" ref="V8:V9" si="14">O8*M8</f>
        <v>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2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</v>
      </c>
      <c r="L9" s="8">
        <f t="shared" si="8"/>
        <v>0</v>
      </c>
      <c r="M9" s="10">
        <f>IF(I9=$Y$11,SQRT(L9*10000),SQRT(Parcellaire!L9*10000)/$AC$12)</f>
        <v>0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0</v>
      </c>
      <c r="U9" s="10">
        <f t="shared" si="13"/>
        <v>0</v>
      </c>
      <c r="V9" s="27">
        <f t="shared" si="14"/>
        <v>0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5292.9818655249192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5292.9818655249192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>
        <v>6</v>
      </c>
      <c r="P30" s="26"/>
      <c r="Q30" s="155">
        <v>3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>
        <v>6</v>
      </c>
      <c r="P31" s="26"/>
      <c r="Q31" s="155">
        <v>3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ref="Q20:Q65" si="15">O32-P32</f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22.5</v>
      </c>
      <c r="H66" s="170"/>
      <c r="I66" s="170">
        <f>SUMIF(Parcellaire!$B$2:$B$65,1,Parcellaire!I2:I65)</f>
        <v>40</v>
      </c>
      <c r="J66" s="170">
        <f>SUMIF(Parcellaire!$B$2:$B$65,1,Parcellaire!J2:J65)</f>
        <v>8</v>
      </c>
      <c r="K66" s="170">
        <f>SUMIF(Parcellaire!$B$2:$B$65,1,Parcellaire!K2:K65)</f>
        <v>23.95</v>
      </c>
      <c r="L66" s="170">
        <f>SUMIF(Parcellaire!$B$2:$B$65,1,Parcellaire!L2:L65)</f>
        <v>25.858000000000004</v>
      </c>
      <c r="M66" s="170">
        <f>SUMIF(Parcellaire!$B$2:$B$65,1,Parcellaire!M2:M65)</f>
        <v>1253.6778592630194</v>
      </c>
      <c r="N66" s="170">
        <f>SUMIF(Parcellaire!$B$2:$B$65,1,Parcellaire!N2:N65)</f>
        <v>90</v>
      </c>
      <c r="O66" s="170">
        <f>SUMIF(Parcellaire!$B$2:$B$65,1,Parcellaire!O2:O65)</f>
        <v>72</v>
      </c>
      <c r="P66" s="170">
        <f>SUMIF(Parcellaire!$B$2:$B$65,1,Parcellaire!P2:P65)</f>
        <v>0</v>
      </c>
      <c r="Q66" s="170">
        <f>SUMIF(Parcellaire!$B$2:$B$65,1,Parcellaire!Q2:Q65)</f>
        <v>36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5292.9818655249192</v>
      </c>
      <c r="U66" s="170">
        <f>SUMIF(Parcellaire!$B$2:$B$65,1,Parcellaire!U2:U65)</f>
        <v>3528.6545770166131</v>
      </c>
      <c r="V66" s="170">
        <f>SUMIF(Parcellaire!$B$2:$B$65,1,Parcellaire!V2:V65)</f>
        <v>7057.3091540332262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89" zoomScale="80" zoomScaleNormal="80" workbookViewId="0">
      <selection activeCell="K110" sqref="K110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1467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14.9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11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80"/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1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4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>
        <v>1</v>
      </c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 t="s">
        <v>633</v>
      </c>
      <c r="L109" s="30" t="str">
        <f>CdTrp2!A18</f>
        <v>Broutards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324</v>
      </c>
      <c r="S164" s="173">
        <f>Alim_Surf!R7</f>
        <v>3.6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3.6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3.6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0</v>
      </c>
      <c r="T165" s="173">
        <f>VLOOKUP(R165,[1]MEP!$A$4:$M$300,13)</f>
        <v>2</v>
      </c>
      <c r="U165" s="173">
        <f t="shared" ref="U165:U207" si="10">IF($T165&gt;0,$S165,0)</f>
        <v>0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0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0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10.5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10.5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10.5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0.5</v>
      </c>
      <c r="T167" s="173">
        <f>VLOOKUP(R167,[1]MEP!$A$4:$M$300,13)</f>
        <v>1</v>
      </c>
      <c r="U167" s="173">
        <f t="shared" si="10"/>
        <v>0.5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0.5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0.5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0.4</v>
      </c>
      <c r="T168" s="173">
        <f>VLOOKUP(R168,[1]MEP!$A$4:$M$300,13)</f>
        <v>1</v>
      </c>
      <c r="U168" s="173">
        <f t="shared" si="10"/>
        <v>0.4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0.4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0.4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303</v>
      </c>
      <c r="S170" s="173">
        <f>Alim_Surf!R13</f>
        <v>3.5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3.5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3.5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0.5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0.5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0.5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3</v>
      </c>
      <c r="T188" s="173">
        <f>VLOOKUP(R188,[1]MEP!$A$4:$M$300,13)</f>
        <v>1</v>
      </c>
      <c r="U188" s="173">
        <f t="shared" si="10"/>
        <v>3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3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3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14.9</v>
      </c>
      <c r="V228" s="62">
        <f t="shared" ref="V228:W228" si="22">SUM(V164:V227)</f>
        <v>11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18.100000000000001</v>
      </c>
      <c r="AI228" s="62">
        <f t="shared" si="24"/>
        <v>3.9</v>
      </c>
      <c r="AJ228" s="62">
        <f t="shared" si="24"/>
        <v>2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7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2</v>
      </c>
      <c r="L3" s="177">
        <f t="shared" si="0"/>
        <v>2</v>
      </c>
      <c r="M3" s="177">
        <f t="shared" si="0"/>
        <v>2</v>
      </c>
      <c r="N3" s="177">
        <f t="shared" si="0"/>
        <v>2</v>
      </c>
      <c r="O3" s="177">
        <f t="shared" si="0"/>
        <v>2</v>
      </c>
      <c r="P3" s="177">
        <f t="shared" si="0"/>
        <v>2</v>
      </c>
      <c r="Q3" s="177">
        <f t="shared" si="0"/>
        <v>2</v>
      </c>
      <c r="R3" s="177">
        <f t="shared" si="0"/>
        <v>2</v>
      </c>
      <c r="S3" s="177">
        <f t="shared" si="0"/>
        <v>2</v>
      </c>
      <c r="T3" s="177">
        <f t="shared" si="0"/>
        <v>2</v>
      </c>
      <c r="U3" s="177">
        <f t="shared" si="0"/>
        <v>2</v>
      </c>
      <c r="V3" s="177">
        <f t="shared" si="0"/>
        <v>2</v>
      </c>
      <c r="W3" s="177">
        <f t="shared" si="0"/>
        <v>1</v>
      </c>
      <c r="X3" s="177">
        <f t="shared" si="0"/>
        <v>1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5294</v>
      </c>
      <c r="AQ4">
        <f>SUM(BJ31:BL31)</f>
        <v>22.5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4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2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0</v>
      </c>
      <c r="BC7" s="30">
        <f>ROUND(Parcellaire!U5,0)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10"/>
        <v>AU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4</v>
      </c>
      <c r="O8" s="177">
        <f>(O3+O4)*[1]Protect!$B$12</f>
        <v>4</v>
      </c>
      <c r="P8" s="177">
        <f>(P3+P4)*[1]Protect!$B$12</f>
        <v>4</v>
      </c>
      <c r="Q8" s="177">
        <f>(Q3+Q4)*[1]Protect!$B$12</f>
        <v>4</v>
      </c>
      <c r="R8" s="177">
        <f>(R3+R4)*[1]Protect!$B$12</f>
        <v>4</v>
      </c>
      <c r="S8" s="177">
        <f>(S3+S4)*[1]Protect!$B$12</f>
        <v>4</v>
      </c>
      <c r="T8" s="177">
        <f>(T3+T4)*[1]Protect!$B$12</f>
        <v>4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4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2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0</v>
      </c>
      <c r="BC10" s="30">
        <f>ROUND(Parcellaire!U8,0)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10"/>
        <v>AU</v>
      </c>
      <c r="BG10" s="173">
        <f t="shared" si="11"/>
        <v>0</v>
      </c>
      <c r="BH10" s="173">
        <f t="shared" si="4"/>
        <v>0</v>
      </c>
      <c r="BI10" s="173">
        <f t="shared" si="5"/>
        <v>0</v>
      </c>
      <c r="BJ10" s="173">
        <f t="shared" si="6"/>
        <v>0</v>
      </c>
      <c r="BK10" s="173">
        <f t="shared" si="7"/>
        <v>0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4</v>
      </c>
      <c r="O11" s="177">
        <f t="shared" si="14"/>
        <v>4</v>
      </c>
      <c r="P11" s="177">
        <f t="shared" si="14"/>
        <v>4</v>
      </c>
      <c r="Q11" s="177">
        <f t="shared" si="14"/>
        <v>4</v>
      </c>
      <c r="R11" s="177">
        <f t="shared" si="14"/>
        <v>4</v>
      </c>
      <c r="S11" s="177">
        <f t="shared" si="14"/>
        <v>4</v>
      </c>
      <c r="T11" s="177">
        <f t="shared" si="14"/>
        <v>4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2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/>
      </c>
      <c r="BE11" s="30" t="str">
        <f>IF(AW11=2,"",VLOOKUP(BD11,[1]MEP!$AC$5:$AD$10,2))</f>
        <v/>
      </c>
      <c r="BF11" s="30" t="str">
        <f t="shared" si="10"/>
        <v>AU</v>
      </c>
      <c r="BG11" s="173">
        <f t="shared" si="11"/>
        <v>0</v>
      </c>
      <c r="BH11" s="173">
        <f t="shared" si="4"/>
        <v>0</v>
      </c>
      <c r="BI11" s="173">
        <f t="shared" si="5"/>
        <v>0</v>
      </c>
      <c r="BJ11" s="173">
        <f t="shared" si="6"/>
        <v>0</v>
      </c>
      <c r="BK11" s="173">
        <f t="shared" si="7"/>
        <v>0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2</v>
      </c>
      <c r="O17" s="173">
        <f t="shared" si="18"/>
        <v>2</v>
      </c>
      <c r="P17" s="173">
        <f t="shared" si="18"/>
        <v>2</v>
      </c>
      <c r="Q17" s="173">
        <f t="shared" si="18"/>
        <v>2</v>
      </c>
      <c r="R17" s="173">
        <f t="shared" si="18"/>
        <v>2</v>
      </c>
      <c r="S17" s="173">
        <f t="shared" si="18"/>
        <v>2</v>
      </c>
      <c r="T17" s="173">
        <f t="shared" si="18"/>
        <v>2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5294</v>
      </c>
      <c r="AE20" s="64">
        <v>0</v>
      </c>
      <c r="AF20" s="64">
        <f>SUM(AD20:AE20)</f>
        <v>5294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5294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1</v>
      </c>
      <c r="I25" s="177">
        <f t="shared" si="23"/>
        <v>2</v>
      </c>
      <c r="J25" s="177">
        <f t="shared" si="23"/>
        <v>2</v>
      </c>
      <c r="K25" s="177">
        <f t="shared" si="23"/>
        <v>2</v>
      </c>
      <c r="L25" s="177">
        <f t="shared" si="23"/>
        <v>2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2</v>
      </c>
      <c r="X25" s="177">
        <f t="shared" si="23"/>
        <v>2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5294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22.5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2</v>
      </c>
      <c r="I29" s="177">
        <f>I25*[1]Protect!$B$12</f>
        <v>4</v>
      </c>
      <c r="J29" s="177">
        <f>J25*[1]Protect!$B$12</f>
        <v>4</v>
      </c>
      <c r="K29" s="177">
        <f>K25*[1]Protect!$B$12</f>
        <v>4</v>
      </c>
      <c r="L29" s="177">
        <f>L25*[1]Protect!$B$12</f>
        <v>4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4</v>
      </c>
      <c r="X29" s="177">
        <f>X25*[1]Protect!$B$12</f>
        <v>4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0</v>
      </c>
      <c r="BJ31" s="62">
        <f t="shared" si="27"/>
        <v>0</v>
      </c>
      <c r="BK31" s="62">
        <f t="shared" si="27"/>
        <v>22.5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2</v>
      </c>
      <c r="I32" s="177">
        <f t="shared" si="28"/>
        <v>4</v>
      </c>
      <c r="J32" s="177">
        <f t="shared" si="28"/>
        <v>4</v>
      </c>
      <c r="K32" s="177">
        <f t="shared" si="28"/>
        <v>4</v>
      </c>
      <c r="L32" s="177">
        <f t="shared" si="28"/>
        <v>4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4</v>
      </c>
      <c r="V32" s="177">
        <f t="shared" si="28"/>
        <v>4</v>
      </c>
      <c r="W32" s="177">
        <f t="shared" si="28"/>
        <v>4</v>
      </c>
      <c r="X32" s="177">
        <f t="shared" si="28"/>
        <v>4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4</v>
      </c>
      <c r="I34" s="177">
        <f t="shared" si="29"/>
        <v>8</v>
      </c>
      <c r="J34" s="177">
        <f t="shared" si="29"/>
        <v>8</v>
      </c>
      <c r="K34" s="177">
        <f t="shared" si="29"/>
        <v>8</v>
      </c>
      <c r="L34" s="177">
        <f t="shared" si="29"/>
        <v>8</v>
      </c>
      <c r="M34" s="177">
        <f t="shared" si="29"/>
        <v>8</v>
      </c>
      <c r="N34" s="177">
        <f t="shared" si="29"/>
        <v>8</v>
      </c>
      <c r="O34" s="177">
        <f t="shared" si="29"/>
        <v>8</v>
      </c>
      <c r="P34" s="177">
        <f t="shared" si="29"/>
        <v>8</v>
      </c>
      <c r="Q34" s="177">
        <f t="shared" si="29"/>
        <v>8</v>
      </c>
      <c r="R34" s="177">
        <f t="shared" si="29"/>
        <v>8</v>
      </c>
      <c r="S34" s="177">
        <f t="shared" si="29"/>
        <v>8</v>
      </c>
      <c r="T34" s="177">
        <f t="shared" si="29"/>
        <v>8</v>
      </c>
      <c r="U34" s="177">
        <f t="shared" si="29"/>
        <v>8</v>
      </c>
      <c r="V34" s="177">
        <f t="shared" si="29"/>
        <v>8</v>
      </c>
      <c r="W34" s="177">
        <f t="shared" si="29"/>
        <v>8</v>
      </c>
      <c r="X34" s="177">
        <f t="shared" si="29"/>
        <v>8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1</v>
      </c>
      <c r="I36" s="173">
        <f t="shared" si="30"/>
        <v>1</v>
      </c>
      <c r="J36" s="173">
        <f t="shared" si="30"/>
        <v>1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1</v>
      </c>
      <c r="V36" s="173">
        <f t="shared" si="30"/>
        <v>1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3</v>
      </c>
      <c r="D37" s="173">
        <f t="shared" si="31"/>
        <v>3</v>
      </c>
      <c r="E37" s="173">
        <f t="shared" si="31"/>
        <v>2</v>
      </c>
      <c r="F37" s="173">
        <f t="shared" si="31"/>
        <v>2</v>
      </c>
      <c r="G37" s="173">
        <f t="shared" si="31"/>
        <v>2</v>
      </c>
      <c r="H37" s="173">
        <f t="shared" si="31"/>
        <v>3</v>
      </c>
      <c r="I37" s="173">
        <f t="shared" si="31"/>
        <v>2</v>
      </c>
      <c r="J37" s="173">
        <f t="shared" si="31"/>
        <v>2</v>
      </c>
      <c r="K37" s="173">
        <f t="shared" si="31"/>
        <v>1</v>
      </c>
      <c r="L37" s="173">
        <f t="shared" si="31"/>
        <v>1</v>
      </c>
      <c r="M37" s="173">
        <f t="shared" si="31"/>
        <v>1</v>
      </c>
      <c r="N37" s="173">
        <f t="shared" si="31"/>
        <v>1</v>
      </c>
      <c r="O37" s="173">
        <f t="shared" si="31"/>
        <v>1</v>
      </c>
      <c r="P37" s="173">
        <f t="shared" si="31"/>
        <v>1</v>
      </c>
      <c r="Q37" s="173">
        <f t="shared" si="31"/>
        <v>1</v>
      </c>
      <c r="R37" s="173">
        <f t="shared" si="31"/>
        <v>1</v>
      </c>
      <c r="S37" s="173">
        <f t="shared" si="31"/>
        <v>1</v>
      </c>
      <c r="T37" s="173">
        <f t="shared" si="31"/>
        <v>1</v>
      </c>
      <c r="U37" s="173">
        <f t="shared" si="31"/>
        <v>2</v>
      </c>
      <c r="V37" s="173">
        <f t="shared" si="31"/>
        <v>2</v>
      </c>
      <c r="W37" s="173">
        <f t="shared" si="31"/>
        <v>2</v>
      </c>
      <c r="X37" s="173">
        <f t="shared" si="31"/>
        <v>2</v>
      </c>
      <c r="Y37" s="173">
        <f t="shared" si="31"/>
        <v>3</v>
      </c>
      <c r="Z37" s="173">
        <f t="shared" si="31"/>
        <v>3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1</v>
      </c>
      <c r="X38" s="173">
        <f t="shared" si="32"/>
        <v>1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2</v>
      </c>
      <c r="I39" s="62">
        <f t="shared" si="33"/>
        <v>2</v>
      </c>
      <c r="J39" s="62">
        <f t="shared" si="33"/>
        <v>2</v>
      </c>
      <c r="K39" s="62">
        <f t="shared" si="33"/>
        <v>3</v>
      </c>
      <c r="L39" s="62">
        <f t="shared" si="33"/>
        <v>3</v>
      </c>
      <c r="M39" s="62">
        <f t="shared" si="33"/>
        <v>4</v>
      </c>
      <c r="N39" s="62">
        <f t="shared" si="33"/>
        <v>4</v>
      </c>
      <c r="O39" s="62">
        <f t="shared" si="33"/>
        <v>4</v>
      </c>
      <c r="P39" s="62">
        <f t="shared" si="33"/>
        <v>4</v>
      </c>
      <c r="Q39" s="62">
        <f t="shared" si="33"/>
        <v>4</v>
      </c>
      <c r="R39" s="62">
        <f t="shared" si="33"/>
        <v>4</v>
      </c>
      <c r="S39" s="62">
        <f t="shared" si="33"/>
        <v>4</v>
      </c>
      <c r="T39" s="62">
        <f t="shared" si="33"/>
        <v>4</v>
      </c>
      <c r="U39" s="62">
        <f t="shared" si="33"/>
        <v>2</v>
      </c>
      <c r="V39" s="62">
        <f t="shared" si="33"/>
        <v>2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2</v>
      </c>
      <c r="I43" s="62">
        <f t="shared" si="36"/>
        <v>2</v>
      </c>
      <c r="J43" s="62">
        <f t="shared" si="36"/>
        <v>2</v>
      </c>
      <c r="K43" s="62">
        <f t="shared" si="36"/>
        <v>3</v>
      </c>
      <c r="L43" s="62">
        <f t="shared" si="36"/>
        <v>3</v>
      </c>
      <c r="M43" s="62">
        <f t="shared" si="36"/>
        <v>4</v>
      </c>
      <c r="N43" s="62">
        <f t="shared" si="36"/>
        <v>4</v>
      </c>
      <c r="O43" s="62">
        <f t="shared" si="36"/>
        <v>4</v>
      </c>
      <c r="P43" s="62">
        <f t="shared" si="36"/>
        <v>4</v>
      </c>
      <c r="Q43" s="62">
        <f t="shared" si="36"/>
        <v>4</v>
      </c>
      <c r="R43" s="62">
        <f t="shared" si="36"/>
        <v>4</v>
      </c>
      <c r="S43" s="62">
        <f t="shared" si="36"/>
        <v>4</v>
      </c>
      <c r="T43" s="62">
        <f t="shared" si="36"/>
        <v>4</v>
      </c>
      <c r="U43" s="62">
        <f t="shared" si="36"/>
        <v>2</v>
      </c>
      <c r="V43" s="62">
        <f t="shared" si="36"/>
        <v>2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0.5</v>
      </c>
      <c r="O68" s="173">
        <f>IF($AA68=0,99,IF(O81&gt;3,CdTrp1!N76,CdTrp1!N52))</f>
        <v>0.5</v>
      </c>
      <c r="P68" s="173">
        <f>IF($AA68=0,99,IF(P81&gt;3,CdTrp1!O76,CdTrp1!O52))</f>
        <v>0.5</v>
      </c>
      <c r="Q68" s="173">
        <f>IF($AA68=0,99,IF(Q81&gt;3,CdTrp1!P76,CdTrp1!P52))</f>
        <v>0.5</v>
      </c>
      <c r="R68" s="173">
        <f>IF($AA68=0,99,IF(R81&gt;3,CdTrp1!Q76,CdTrp1!Q52))</f>
        <v>0.5</v>
      </c>
      <c r="S68" s="173">
        <f>IF($AA68=0,99,IF(S81&gt;3,CdTrp1!R76,CdTrp1!R52))</f>
        <v>0.5</v>
      </c>
      <c r="T68" s="173">
        <f>IF($AA68=0,99,IF(T81&gt;3,CdTrp1!S76,CdTrp1!S52))</f>
        <v>0.5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1</v>
      </c>
      <c r="O81" s="173">
        <f>CdTrp1!N76</f>
        <v>1</v>
      </c>
      <c r="P81" s="173">
        <f>CdTrp1!O76</f>
        <v>1</v>
      </c>
      <c r="Q81" s="173">
        <f>CdTrp1!P76</f>
        <v>1</v>
      </c>
      <c r="R81" s="173">
        <f>CdTrp1!Q76</f>
        <v>1</v>
      </c>
      <c r="S81" s="173">
        <f>CdTrp1!R76</f>
        <v>1</v>
      </c>
      <c r="T81" s="173">
        <f>CdTrp1!S76</f>
        <v>1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1</v>
      </c>
      <c r="H82" s="173">
        <f>CdTrp1!G77</f>
        <v>1</v>
      </c>
      <c r="I82" s="173">
        <f>CdTrp1!H77</f>
        <v>1</v>
      </c>
      <c r="J82" s="173">
        <f>CdTrp1!I77</f>
        <v>1</v>
      </c>
      <c r="K82" s="173">
        <f>CdTrp1!J77</f>
        <v>1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1</v>
      </c>
      <c r="W82" s="173">
        <f>CdTrp1!V77</f>
        <v>1</v>
      </c>
      <c r="X82" s="173">
        <f>CdTrp1!W77</f>
        <v>1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1</v>
      </c>
      <c r="I111" s="173">
        <f>IF($AA111=0,99,IF(I124&gt;3,CdTrp2!H77,CdTrp2!H53))</f>
        <v>1</v>
      </c>
      <c r="J111" s="173">
        <f>IF($AA111=0,99,IF(J124&gt;3,CdTrp2!I77,CdTrp2!I53))</f>
        <v>1</v>
      </c>
      <c r="K111" s="173">
        <f>IF($AA111=0,99,IF(K124&gt;3,CdTrp2!J77,CdTrp2!J53))</f>
        <v>1</v>
      </c>
      <c r="L111" s="173">
        <f>IF($AA111=0,99,IF(L124&gt;3,CdTrp2!K77,CdTrp2!K53))</f>
        <v>1</v>
      </c>
      <c r="M111" s="173">
        <f>IF($AA111=0,99,IF(M124&gt;3,CdTrp2!L77,CdTrp2!L53))</f>
        <v>1</v>
      </c>
      <c r="N111" s="173">
        <f>IF($AA111=0,99,IF(N124&gt;3,CdTrp2!M77,CdTrp2!M53))</f>
        <v>1</v>
      </c>
      <c r="O111" s="173">
        <f>IF($AA111=0,99,IF(O124&gt;3,CdTrp2!N77,CdTrp2!N53))</f>
        <v>1</v>
      </c>
      <c r="P111" s="173">
        <f>IF($AA111=0,99,IF(P124&gt;3,CdTrp2!O77,CdTrp2!O53))</f>
        <v>1</v>
      </c>
      <c r="Q111" s="173">
        <f>IF($AA111=0,99,IF(Q124&gt;3,CdTrp2!P77,CdTrp2!P53))</f>
        <v>1</v>
      </c>
      <c r="R111" s="173">
        <f>IF($AA111=0,99,IF(R124&gt;3,CdTrp2!Q77,CdTrp2!Q53))</f>
        <v>1</v>
      </c>
      <c r="S111" s="173">
        <f>IF($AA111=0,99,IF(S124&gt;3,CdTrp2!R77,CdTrp2!R53))</f>
        <v>1</v>
      </c>
      <c r="T111" s="173">
        <f>IF($AA111=0,99,IF(T124&gt;3,CdTrp2!S77,CdTrp2!S53))</f>
        <v>1</v>
      </c>
      <c r="U111" s="173">
        <f>IF($AA111=0,99,IF(U124&gt;3,CdTrp2!T77,CdTrp2!T53))</f>
        <v>1</v>
      </c>
      <c r="V111" s="173">
        <f>IF($AA111=0,99,IF(V124&gt;3,CdTrp2!U77,CdTrp2!U53))</f>
        <v>1</v>
      </c>
      <c r="W111" s="173">
        <f>IF($AA111=0,99,IF(W124&gt;3,CdTrp2!V77,CdTrp2!V53))</f>
        <v>1</v>
      </c>
      <c r="X111" s="173">
        <f>IF($AA111=0,99,IF(X124&gt;3,CdTrp2!W77,CdTrp2!W53))</f>
        <v>1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Broutards</v>
      </c>
      <c r="C113" s="173">
        <f>IF($AA113=0,99,IF(C126&gt;3,CdTrp2!B79,CdTrp2!B55))</f>
        <v>1</v>
      </c>
      <c r="D113" s="173">
        <f>IF($AA113=0,99,IF(D126&gt;3,CdTrp2!C79,CdTrp2!C55))</f>
        <v>1</v>
      </c>
      <c r="E113" s="173">
        <f>IF($AA113=0,99,IF(E126&gt;3,CdTrp2!D79,CdTrp2!D55))</f>
        <v>1</v>
      </c>
      <c r="F113" s="173">
        <f>IF($AA113=0,99,IF(F126&gt;3,CdTrp2!E79,CdTrp2!E55))</f>
        <v>1</v>
      </c>
      <c r="G113" s="173">
        <f>IF($AA113=0,99,IF(G126&gt;3,CdTrp2!F79,CdTrp2!F55))</f>
        <v>1</v>
      </c>
      <c r="H113" s="173">
        <f>IF($AA113=0,99,IF(H126&gt;3,CdTrp2!G79,CdTrp2!G55))</f>
        <v>1</v>
      </c>
      <c r="I113" s="173">
        <f>IF($AA113=0,99,IF(I126&gt;3,CdTrp2!H79,CdTrp2!H55))</f>
        <v>1</v>
      </c>
      <c r="J113" s="173">
        <f>IF($AA113=0,99,IF(J126&gt;3,CdTrp2!I79,CdTrp2!I55))</f>
        <v>1</v>
      </c>
      <c r="K113" s="173">
        <f>IF($AA113=0,99,IF(K126&gt;3,CdTrp2!J79,CdTrp2!J55))</f>
        <v>0</v>
      </c>
      <c r="L113" s="173">
        <f>IF($AA113=0,99,IF(L126&gt;3,CdTrp2!K79,CdTrp2!K55))</f>
        <v>0</v>
      </c>
      <c r="M113" s="173">
        <f>IF($AA113=0,99,IF(M126&gt;3,CdTrp2!L79,CdTrp2!L55))</f>
        <v>0</v>
      </c>
      <c r="N113" s="173">
        <f>IF($AA113=0,99,IF(N126&gt;3,CdTrp2!M79,CdTrp2!M55))</f>
        <v>0</v>
      </c>
      <c r="O113" s="173">
        <f>IF($AA113=0,99,IF(O126&gt;3,CdTrp2!N79,CdTrp2!N55))</f>
        <v>0</v>
      </c>
      <c r="P113" s="173">
        <f>IF($AA113=0,99,IF(P126&gt;3,CdTrp2!O79,CdTrp2!O55))</f>
        <v>0</v>
      </c>
      <c r="Q113" s="173">
        <f>IF($AA113=0,99,IF(Q126&gt;3,CdTrp2!P79,CdTrp2!P55))</f>
        <v>0</v>
      </c>
      <c r="R113" s="173">
        <f>IF($AA113=0,99,IF(R126&gt;3,CdTrp2!Q79,CdTrp2!Q55))</f>
        <v>0</v>
      </c>
      <c r="S113" s="173">
        <f>IF($AA113=0,99,IF(S126&gt;3,CdTrp2!R79,CdTrp2!R55))</f>
        <v>0</v>
      </c>
      <c r="T113" s="173">
        <f>IF($AA113=0,99,IF(T126&gt;3,CdTrp2!S79,CdTrp2!S55))</f>
        <v>0</v>
      </c>
      <c r="U113" s="173">
        <f>IF($AA113=0,99,IF(U126&gt;3,CdTrp2!T79,CdTrp2!T55))</f>
        <v>1</v>
      </c>
      <c r="V113" s="173">
        <f>IF($AA113=0,99,IF(V126&gt;3,CdTrp2!U79,CdTrp2!U55))</f>
        <v>1</v>
      </c>
      <c r="W113" s="173">
        <f>IF($AA113=0,99,IF(W126&gt;3,CdTrp2!V79,CdTrp2!V55))</f>
        <v>1</v>
      </c>
      <c r="X113" s="173">
        <f>IF($AA113=0,99,IF(X126&gt;3,CdTrp2!W79,CdTrp2!W55))</f>
        <v>1</v>
      </c>
      <c r="Y113" s="173">
        <f>IF($AA113=0,99,IF(Y126&gt;3,CdTrp2!X79,CdTrp2!X55))</f>
        <v>1</v>
      </c>
      <c r="Z113" s="173">
        <f>IF($AA113=0,99,IF(Z126&gt;3,CdTrp2!Y79,CdTrp2!Y55))</f>
        <v>1</v>
      </c>
      <c r="AA113" s="182">
        <f>SUM(CdTrp2!B18:Y18)/24</f>
        <v>6.9333333333333336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2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Broutards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4</v>
      </c>
      <c r="O201" s="173">
        <f>IF(Troupeau!$B$3="OL",O8+O9,0)</f>
        <v>4</v>
      </c>
      <c r="P201" s="173">
        <f>IF(Troupeau!$B$3="OL",P8+P9,0)</f>
        <v>4</v>
      </c>
      <c r="Q201" s="173">
        <f>IF(Troupeau!$B$3="OL",Q8+Q9,0)</f>
        <v>4</v>
      </c>
      <c r="R201" s="173">
        <f>IF(Troupeau!$B$3="OL",R8+R9,0)</f>
        <v>4</v>
      </c>
      <c r="S201" s="173">
        <f>IF(Troupeau!$B$3="OL",S8+S9,0)</f>
        <v>4</v>
      </c>
      <c r="T201" s="173">
        <f>IF(Troupeau!$B$3="OL",T8+T9,0)</f>
        <v>4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4</v>
      </c>
      <c r="O212" s="173">
        <f t="shared" si="52"/>
        <v>4</v>
      </c>
      <c r="P212" s="173">
        <f t="shared" si="52"/>
        <v>4</v>
      </c>
      <c r="Q212" s="173">
        <f t="shared" si="52"/>
        <v>4</v>
      </c>
      <c r="R212" s="173">
        <f t="shared" si="52"/>
        <v>4</v>
      </c>
      <c r="S212" s="173">
        <f t="shared" si="52"/>
        <v>4</v>
      </c>
      <c r="T212" s="173">
        <f t="shared" si="52"/>
        <v>4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59" activePane="bottomLeft" state="frozen"/>
      <selection activeCell="J83" sqref="J83"/>
      <selection pane="bottomLeft" activeCell="F74" sqref="F74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574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28</v>
      </c>
      <c r="M5" s="173">
        <f t="shared" si="0"/>
        <v>28</v>
      </c>
      <c r="N5" s="173">
        <f t="shared" si="0"/>
        <v>28</v>
      </c>
      <c r="O5" s="173">
        <f t="shared" si="0"/>
        <v>28</v>
      </c>
      <c r="P5" s="173">
        <f t="shared" si="0"/>
        <v>28</v>
      </c>
      <c r="Q5" s="173">
        <f t="shared" si="0"/>
        <v>28</v>
      </c>
      <c r="R5" s="173">
        <f t="shared" si="0"/>
        <v>28</v>
      </c>
      <c r="S5" s="173">
        <f t="shared" si="0"/>
        <v>28</v>
      </c>
      <c r="T5" s="173">
        <f t="shared" si="0"/>
        <v>28</v>
      </c>
      <c r="U5" s="173">
        <f t="shared" si="0"/>
        <v>28</v>
      </c>
      <c r="V5" s="173">
        <f t="shared" si="0"/>
        <v>28</v>
      </c>
      <c r="W5" s="173">
        <f t="shared" si="0"/>
        <v>28</v>
      </c>
      <c r="X5" s="173">
        <f t="shared" si="0"/>
        <v>28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144.9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5.25</v>
      </c>
      <c r="M6" s="173">
        <f t="shared" si="2"/>
        <v>15.75</v>
      </c>
      <c r="N6" s="173">
        <f t="shared" si="2"/>
        <v>19.25</v>
      </c>
      <c r="O6" s="173">
        <f t="shared" si="2"/>
        <v>19.25</v>
      </c>
      <c r="P6" s="173">
        <f t="shared" si="2"/>
        <v>19.25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19.25</v>
      </c>
      <c r="AA6" s="173">
        <f t="shared" si="2"/>
        <v>19.25</v>
      </c>
      <c r="AB6" s="173">
        <f t="shared" si="2"/>
        <v>19.25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Broutards</v>
      </c>
      <c r="CA7" s="172"/>
      <c r="CB7" s="270">
        <f>CdTrp2!B18</f>
        <v>15.5</v>
      </c>
      <c r="CC7" s="270">
        <f>CdTrp2!C18</f>
        <v>15.5</v>
      </c>
      <c r="CD7" s="270">
        <f>CdTrp2!D18</f>
        <v>15.5</v>
      </c>
      <c r="CE7" s="270">
        <f>CdTrp2!E18</f>
        <v>15.5</v>
      </c>
      <c r="CF7" s="270">
        <f>CdTrp2!F18</f>
        <v>15.5</v>
      </c>
      <c r="CG7" s="270">
        <f>CdTrp2!G18</f>
        <v>12</v>
      </c>
      <c r="CH7" s="270">
        <f>CdTrp2!H18</f>
        <v>8</v>
      </c>
      <c r="CI7" s="270">
        <f>CdTrp2!I18</f>
        <v>4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3.4</v>
      </c>
      <c r="CU7" s="270">
        <f>CdTrp2!U18</f>
        <v>7</v>
      </c>
      <c r="CV7" s="270">
        <f>CdTrp2!V18</f>
        <v>10</v>
      </c>
      <c r="CW7" s="270">
        <f>CdTrp2!W18</f>
        <v>12.5</v>
      </c>
      <c r="CX7" s="270">
        <f>CdTrp2!X18</f>
        <v>15</v>
      </c>
      <c r="CY7" s="270">
        <f>CdTrp2!Y18</f>
        <v>17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1092.4957826086957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54.91804347826087</v>
      </c>
      <c r="M9" s="30">
        <f t="shared" si="4"/>
        <v>54.863717391304348</v>
      </c>
      <c r="N9" s="30">
        <f t="shared" si="4"/>
        <v>54.809391304347827</v>
      </c>
      <c r="O9" s="30">
        <f t="shared" si="4"/>
        <v>54.700739130434783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32.559891304347829</v>
      </c>
      <c r="S9" s="30">
        <f t="shared" si="4"/>
        <v>32.559891304347829</v>
      </c>
      <c r="T9" s="30">
        <f t="shared" si="4"/>
        <v>32.559891304347829</v>
      </c>
      <c r="U9" s="30">
        <f t="shared" si="4"/>
        <v>32.559891304347829</v>
      </c>
      <c r="V9" s="30">
        <f t="shared" si="4"/>
        <v>32.559891304347829</v>
      </c>
      <c r="W9" s="30">
        <f t="shared" si="4"/>
        <v>32.559891304347829</v>
      </c>
      <c r="X9" s="30">
        <f t="shared" si="4"/>
        <v>32.559891304347829</v>
      </c>
      <c r="Y9" s="30">
        <f t="shared" si="4"/>
        <v>32.559891304347829</v>
      </c>
      <c r="Z9" s="30">
        <f t="shared" si="4"/>
        <v>53.070956521739127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2915.9957826086943</v>
      </c>
      <c r="G13" s="30">
        <f>SUM(G5:G11)</f>
        <v>111.29832608695652</v>
      </c>
      <c r="H13" s="30">
        <f t="shared" ref="H13:AD13" si="8">SUM(H5:H11)</f>
        <v>111.18967391304348</v>
      </c>
      <c r="I13" s="30">
        <f t="shared" si="8"/>
        <v>116.33102173913043</v>
      </c>
      <c r="J13" s="30">
        <f t="shared" si="8"/>
        <v>130.27669565217391</v>
      </c>
      <c r="K13" s="30">
        <f t="shared" si="8"/>
        <v>130.22236956521738</v>
      </c>
      <c r="L13" s="30">
        <f t="shared" si="8"/>
        <v>130.16804347826087</v>
      </c>
      <c r="M13" s="30">
        <f t="shared" si="8"/>
        <v>140.61371739130436</v>
      </c>
      <c r="N13" s="30">
        <f t="shared" si="8"/>
        <v>144.05939130434783</v>
      </c>
      <c r="O13" s="30">
        <f t="shared" si="8"/>
        <v>143.95073913043478</v>
      </c>
      <c r="P13" s="30">
        <f t="shared" si="8"/>
        <v>121.80989130434783</v>
      </c>
      <c r="Q13" s="30">
        <f t="shared" si="8"/>
        <v>111.30989130434783</v>
      </c>
      <c r="R13" s="30">
        <f t="shared" si="8"/>
        <v>111.30989130434783</v>
      </c>
      <c r="S13" s="30">
        <f t="shared" si="8"/>
        <v>111.30989130434783</v>
      </c>
      <c r="T13" s="30">
        <f t="shared" si="8"/>
        <v>111.30989130434783</v>
      </c>
      <c r="U13" s="30">
        <f t="shared" si="8"/>
        <v>111.30989130434783</v>
      </c>
      <c r="V13" s="30">
        <f t="shared" si="8"/>
        <v>111.30989130434783</v>
      </c>
      <c r="W13" s="30">
        <f t="shared" si="8"/>
        <v>111.30989130434783</v>
      </c>
      <c r="X13" s="30">
        <f t="shared" si="8"/>
        <v>111.30989130434783</v>
      </c>
      <c r="Y13" s="30">
        <f t="shared" si="8"/>
        <v>121.80989130434783</v>
      </c>
      <c r="Z13" s="30">
        <f t="shared" si="8"/>
        <v>142.32095652173913</v>
      </c>
      <c r="AA13" s="30">
        <f t="shared" si="8"/>
        <v>128.32095652173913</v>
      </c>
      <c r="AB13" s="30">
        <f t="shared" si="8"/>
        <v>130.54832608695654</v>
      </c>
      <c r="AC13" s="30">
        <f t="shared" si="8"/>
        <v>111.29832608695652</v>
      </c>
      <c r="AD13" s="30">
        <f t="shared" si="8"/>
        <v>111.29832608695652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Broutards</v>
      </c>
      <c r="CB18" s="173">
        <f t="shared" si="11"/>
        <v>1</v>
      </c>
      <c r="CC18" s="173">
        <f t="shared" si="11"/>
        <v>1</v>
      </c>
      <c r="CD18" s="173">
        <f t="shared" si="11"/>
        <v>1</v>
      </c>
      <c r="CE18" s="173">
        <f t="shared" si="11"/>
        <v>1</v>
      </c>
      <c r="CF18" s="173">
        <f t="shared" si="11"/>
        <v>1</v>
      </c>
      <c r="CG18" s="173">
        <f t="shared" si="11"/>
        <v>1</v>
      </c>
      <c r="CH18" s="173">
        <f t="shared" si="11"/>
        <v>1</v>
      </c>
      <c r="CI18" s="173">
        <f t="shared" si="11"/>
        <v>1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1</v>
      </c>
      <c r="CU18" s="173">
        <f t="shared" si="11"/>
        <v>1</v>
      </c>
      <c r="CV18" s="173">
        <f t="shared" si="11"/>
        <v>1</v>
      </c>
      <c r="CW18" s="173">
        <f t="shared" si="11"/>
        <v>1</v>
      </c>
      <c r="CX18" s="173">
        <f t="shared" si="11"/>
        <v>1</v>
      </c>
      <c r="CY18" s="173">
        <f t="shared" si="11"/>
        <v>1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Broutards</v>
      </c>
      <c r="CA29" s="192" t="str">
        <f>Scénario!K109</f>
        <v>fort</v>
      </c>
      <c r="CB29" s="173">
        <f t="shared" si="23"/>
        <v>2</v>
      </c>
      <c r="CC29" s="173">
        <f t="shared" si="20"/>
        <v>2</v>
      </c>
      <c r="CD29" s="173">
        <f t="shared" si="20"/>
        <v>2</v>
      </c>
      <c r="CE29" s="173">
        <f t="shared" si="20"/>
        <v>2</v>
      </c>
      <c r="CF29" s="173">
        <f t="shared" si="20"/>
        <v>2</v>
      </c>
      <c r="CG29" s="173">
        <f t="shared" si="20"/>
        <v>2</v>
      </c>
      <c r="CH29" s="173">
        <f t="shared" si="20"/>
        <v>2</v>
      </c>
      <c r="CI29" s="173">
        <f t="shared" si="20"/>
        <v>2</v>
      </c>
      <c r="CJ29" s="173">
        <f t="shared" si="20"/>
        <v>2</v>
      </c>
      <c r="CK29" s="173">
        <f t="shared" si="20"/>
        <v>2</v>
      </c>
      <c r="CL29" s="173">
        <f t="shared" si="20"/>
        <v>2</v>
      </c>
      <c r="CM29" s="173">
        <f t="shared" si="20"/>
        <v>2</v>
      </c>
      <c r="CN29" s="173">
        <f t="shared" si="20"/>
        <v>2</v>
      </c>
      <c r="CO29" s="173">
        <f t="shared" si="20"/>
        <v>2</v>
      </c>
      <c r="CP29" s="173">
        <f t="shared" si="20"/>
        <v>2</v>
      </c>
      <c r="CQ29" s="173">
        <f t="shared" si="20"/>
        <v>2</v>
      </c>
      <c r="CR29" s="173">
        <f t="shared" si="20"/>
        <v>2</v>
      </c>
      <c r="CS29" s="173">
        <f t="shared" si="20"/>
        <v>2</v>
      </c>
      <c r="CT29" s="173">
        <f t="shared" si="20"/>
        <v>2</v>
      </c>
      <c r="CU29" s="173">
        <f t="shared" si="20"/>
        <v>2</v>
      </c>
      <c r="CV29" s="173">
        <f t="shared" si="20"/>
        <v>2</v>
      </c>
      <c r="CW29" s="173">
        <f t="shared" si="20"/>
        <v>2</v>
      </c>
      <c r="CX29" s="173">
        <f t="shared" si="20"/>
        <v>2</v>
      </c>
      <c r="CY29" s="173">
        <f t="shared" si="20"/>
        <v>2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2</v>
      </c>
      <c r="BH37" s="173">
        <f>IF(CdTrp1!N52=1,3,IF(CdTrp1!N52=0.5,2,IF(CdTrp1!N52=0,1,0)))</f>
        <v>2</v>
      </c>
      <c r="BI37" s="173">
        <f>IF(CdTrp1!O52=1,3,IF(CdTrp1!O52=0.5,2,IF(CdTrp1!O52=0,1,0)))</f>
        <v>2</v>
      </c>
      <c r="BJ37" s="173">
        <f>IF(CdTrp1!P52=1,3,IF(CdTrp1!P52=0.5,2,IF(CdTrp1!P52=0,1,0)))</f>
        <v>2</v>
      </c>
      <c r="BK37" s="173">
        <f>IF(CdTrp1!Q52=1,3,IF(CdTrp1!Q52=0.5,2,IF(CdTrp1!Q52=0,1,0)))</f>
        <v>2</v>
      </c>
      <c r="BL37" s="173">
        <f>IF(CdTrp1!R52=1,3,IF(CdTrp1!R52=0.5,2,IF(CdTrp1!R52=0,1,0)))</f>
        <v>2</v>
      </c>
      <c r="BM37" s="173">
        <f>IF(CdTrp1!S52=1,3,IF(CdTrp1!S52=0.5,2,IF(CdTrp1!S52=0,1,0)))</f>
        <v>2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3</v>
      </c>
      <c r="CH38" s="173">
        <f>IF(CdTrp2!H53=1,3,IF(CdTrp2!H53=0.5,2,IF(CdTrp2!H53=0,1,0)))</f>
        <v>3</v>
      </c>
      <c r="CI38" s="173">
        <f>IF(CdTrp2!I53=1,3,IF(CdTrp2!I53=0.5,2,IF(CdTrp2!I53=0,1,0)))</f>
        <v>3</v>
      </c>
      <c r="CJ38" s="173">
        <f>IF(CdTrp2!J53=1,3,IF(CdTrp2!J53=0.5,2,IF(CdTrp2!J53=0,1,0)))</f>
        <v>3</v>
      </c>
      <c r="CK38" s="173">
        <f>IF(CdTrp2!K53=1,3,IF(CdTrp2!K53=0.5,2,IF(CdTrp2!K53=0,1,0)))</f>
        <v>3</v>
      </c>
      <c r="CL38" s="173">
        <f>IF(CdTrp2!L53=1,3,IF(CdTrp2!L53=0.5,2,IF(CdTrp2!L53=0,1,0)))</f>
        <v>3</v>
      </c>
      <c r="CM38" s="173">
        <f>IF(CdTrp2!M53=1,3,IF(CdTrp2!M53=0.5,2,IF(CdTrp2!M53=0,1,0)))</f>
        <v>3</v>
      </c>
      <c r="CN38" s="173">
        <f>IF(CdTrp2!N53=1,3,IF(CdTrp2!N53=0.5,2,IF(CdTrp2!N53=0,1,0)))</f>
        <v>3</v>
      </c>
      <c r="CO38" s="173">
        <f>IF(CdTrp2!O53=1,3,IF(CdTrp2!O53=0.5,2,IF(CdTrp2!O53=0,1,0)))</f>
        <v>3</v>
      </c>
      <c r="CP38" s="173">
        <f>IF(CdTrp2!P53=1,3,IF(CdTrp2!P53=0.5,2,IF(CdTrp2!P53=0,1,0)))</f>
        <v>3</v>
      </c>
      <c r="CQ38" s="173">
        <f>IF(CdTrp2!Q53=1,3,IF(CdTrp2!Q53=0.5,2,IF(CdTrp2!Q53=0,1,0)))</f>
        <v>3</v>
      </c>
      <c r="CR38" s="173">
        <f>IF(CdTrp2!R53=1,3,IF(CdTrp2!R53=0.5,2,IF(CdTrp2!R53=0,1,0)))</f>
        <v>3</v>
      </c>
      <c r="CS38" s="173">
        <f>IF(CdTrp2!S53=1,3,IF(CdTrp2!S53=0.5,2,IF(CdTrp2!S53=0,1,0)))</f>
        <v>3</v>
      </c>
      <c r="CT38" s="173">
        <f>IF(CdTrp2!T53=1,3,IF(CdTrp2!T53=0.5,2,IF(CdTrp2!T53=0,1,0)))</f>
        <v>3</v>
      </c>
      <c r="CU38" s="173">
        <f>IF(CdTrp2!U53=1,3,IF(CdTrp2!U53=0.5,2,IF(CdTrp2!U53=0,1,0)))</f>
        <v>3</v>
      </c>
      <c r="CV38" s="173">
        <f>IF(CdTrp2!V53=1,3,IF(CdTrp2!V53=0.5,2,IF(CdTrp2!V53=0,1,0)))</f>
        <v>3</v>
      </c>
      <c r="CW38" s="173">
        <f>IF(CdTrp2!W53=1,3,IF(CdTrp2!W53=0.5,2,IF(CdTrp2!W53=0,1,0)))</f>
        <v>3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Broutards</v>
      </c>
      <c r="CA40" s="32"/>
      <c r="CB40" s="173">
        <f>IF(CdTrp2!B55=1,3,IF(CdTrp2!B55=0.5,2,IF(CdTrp2!B55=0,1,0)))</f>
        <v>3</v>
      </c>
      <c r="CC40" s="173">
        <f>IF(CdTrp2!C55=1,3,IF(CdTrp2!C55=0.5,2,IF(CdTrp2!C55=0,1,0)))</f>
        <v>3</v>
      </c>
      <c r="CD40" s="173">
        <f>IF(CdTrp2!D55=1,3,IF(CdTrp2!D55=0.5,2,IF(CdTrp2!D55=0,1,0)))</f>
        <v>3</v>
      </c>
      <c r="CE40" s="173">
        <f>IF(CdTrp2!E55=1,3,IF(CdTrp2!E55=0.5,2,IF(CdTrp2!E55=0,1,0)))</f>
        <v>3</v>
      </c>
      <c r="CF40" s="173">
        <f>IF(CdTrp2!F55=1,3,IF(CdTrp2!F55=0.5,2,IF(CdTrp2!F55=0,1,0)))</f>
        <v>3</v>
      </c>
      <c r="CG40" s="173">
        <f>IF(CdTrp2!G55=1,3,IF(CdTrp2!G55=0.5,2,IF(CdTrp2!G55=0,1,0)))</f>
        <v>3</v>
      </c>
      <c r="CH40" s="173">
        <f>IF(CdTrp2!H55=1,3,IF(CdTrp2!H55=0.5,2,IF(CdTrp2!H55=0,1,0)))</f>
        <v>3</v>
      </c>
      <c r="CI40" s="173">
        <f>IF(CdTrp2!I55=1,3,IF(CdTrp2!I55=0.5,2,IF(CdTrp2!I55=0,1,0)))</f>
        <v>3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3</v>
      </c>
      <c r="CU40" s="173">
        <f>IF(CdTrp2!U55=1,3,IF(CdTrp2!U55=0.5,2,IF(CdTrp2!U55=0,1,0)))</f>
        <v>3</v>
      </c>
      <c r="CV40" s="173">
        <f>IF(CdTrp2!V55=1,3,IF(CdTrp2!V55=0.5,2,IF(CdTrp2!V55=0,1,0)))</f>
        <v>3</v>
      </c>
      <c r="CW40" s="173">
        <f>IF(CdTrp2!W55=1,3,IF(CdTrp2!W55=0.5,2,IF(CdTrp2!W55=0,1,0)))</f>
        <v>3</v>
      </c>
      <c r="CX40" s="173">
        <f>IF(CdTrp2!X55=1,3,IF(CdTrp2!X55=0.5,2,IF(CdTrp2!X55=0,1,0)))</f>
        <v>3</v>
      </c>
      <c r="CY40" s="173">
        <f>IF(CdTrp2!Y55=1,3,IF(CdTrp2!Y55=0.5,2,IF(CdTrp2!Y55=0,1,0)))</f>
        <v>3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1</v>
      </c>
      <c r="BH48" s="173">
        <f>IF(CdTrp1!N76=1,1,IF(CdTrp1!N76=2,2,IF(CdTrp1!N76=3,2,0)))</f>
        <v>1</v>
      </c>
      <c r="BI48" s="173">
        <f>IF(CdTrp1!O76=1,1,IF(CdTrp1!O76=2,2,IF(CdTrp1!O76=3,2,0)))</f>
        <v>1</v>
      </c>
      <c r="BJ48" s="173">
        <f>IF(CdTrp1!P76=1,1,IF(CdTrp1!P76=2,2,IF(CdTrp1!P76=3,2,0)))</f>
        <v>1</v>
      </c>
      <c r="BK48" s="173">
        <f>IF(CdTrp1!Q76=1,1,IF(CdTrp1!Q76=2,2,IF(CdTrp1!Q76=3,2,0)))</f>
        <v>1</v>
      </c>
      <c r="BL48" s="173">
        <f>IF(CdTrp1!R76=1,1,IF(CdTrp1!R76=2,2,IF(CdTrp1!R76=3,2,0)))</f>
        <v>1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1</v>
      </c>
      <c r="CM48" s="173">
        <f>IF(CdTrp2!M76=1,1,IF(CdTrp2!M76=2,2,IF(CdTrp2!M76=3,2,0)))</f>
        <v>1</v>
      </c>
      <c r="CN48" s="173">
        <f>IF(CdTrp2!N76=1,1,IF(CdTrp2!N76=2,2,IF(CdTrp2!N76=3,2,0)))</f>
        <v>1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1</v>
      </c>
      <c r="CS48" s="173">
        <f>IF(CdTrp2!S76=1,1,IF(CdTrp2!S76=2,2,IF(CdTrp2!S76=3,2,0)))</f>
        <v>1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1</v>
      </c>
      <c r="BA49" s="173">
        <f>IF(CdTrp1!G77=1,1,IF(CdTrp1!G77=2,2,IF(CdTrp1!G77=3,2,0)))</f>
        <v>1</v>
      </c>
      <c r="BB49" s="173">
        <f>IF(CdTrp1!H77=1,1,IF(CdTrp1!H77=2,2,IF(CdTrp1!H77=3,2,0)))</f>
        <v>1</v>
      </c>
      <c r="BC49" s="173">
        <f>IF(CdTrp1!I77=1,1,IF(CdTrp1!I77=2,2,IF(CdTrp1!I77=3,2,0)))</f>
        <v>1</v>
      </c>
      <c r="BD49" s="173">
        <f>IF(CdTrp1!J77=1,1,IF(CdTrp1!J77=2,2,IF(CdTrp1!J77=3,2,0)))</f>
        <v>1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1</v>
      </c>
      <c r="BP49" s="173">
        <f>IF(CdTrp1!V77=1,1,IF(CdTrp1!V77=2,2,IF(CdTrp1!V77=3,2,0)))</f>
        <v>1</v>
      </c>
      <c r="BQ49" s="173">
        <f>IF(CdTrp1!W77=1,1,IF(CdTrp1!W77=2,2,IF(CdTrp1!W77=3,2,0)))</f>
        <v>1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0</v>
      </c>
      <c r="CH49" s="173">
        <f>IF(CdTrp2!H77=1,1,IF(CdTrp2!H77=2,2,IF(CdTrp2!H77=3,2,0)))</f>
        <v>0</v>
      </c>
      <c r="CI49" s="173">
        <f>IF(CdTrp2!I77=1,1,IF(CdTrp2!I77=2,2,IF(CdTrp2!I77=3,2,0)))</f>
        <v>0</v>
      </c>
      <c r="CJ49" s="173">
        <f>IF(CdTrp2!J77=1,1,IF(CdTrp2!J77=2,2,IF(CdTrp2!J77=3,2,0)))</f>
        <v>0</v>
      </c>
      <c r="CK49" s="173">
        <f>IF(CdTrp2!K77=1,1,IF(CdTrp2!K77=2,2,IF(CdTrp2!K77=3,2,0)))</f>
        <v>0</v>
      </c>
      <c r="CL49" s="173">
        <f>IF(CdTrp2!L77=1,1,IF(CdTrp2!L77=2,2,IF(CdTrp2!L77=3,2,0)))</f>
        <v>0</v>
      </c>
      <c r="CM49" s="173">
        <f>IF(CdTrp2!M77=1,1,IF(CdTrp2!M77=2,2,IF(CdTrp2!M77=3,2,0)))</f>
        <v>0</v>
      </c>
      <c r="CN49" s="173">
        <f>IF(CdTrp2!N77=1,1,IF(CdTrp2!N77=2,2,IF(CdTrp2!N77=3,2,0)))</f>
        <v>0</v>
      </c>
      <c r="CO49" s="173">
        <f>IF(CdTrp2!O77=1,1,IF(CdTrp2!O77=2,2,IF(CdTrp2!O77=3,2,0)))</f>
        <v>0</v>
      </c>
      <c r="CP49" s="173">
        <f>IF(CdTrp2!P77=1,1,IF(CdTrp2!P77=2,2,IF(CdTrp2!P77=3,2,0)))</f>
        <v>0</v>
      </c>
      <c r="CQ49" s="173">
        <f>IF(CdTrp2!Q77=1,1,IF(CdTrp2!Q77=2,2,IF(CdTrp2!Q77=3,2,0)))</f>
        <v>0</v>
      </c>
      <c r="CR49" s="173">
        <f>IF(CdTrp2!R77=1,1,IF(CdTrp2!R77=2,2,IF(CdTrp2!R77=3,2,0)))</f>
        <v>0</v>
      </c>
      <c r="CS49" s="173">
        <f>IF(CdTrp2!S77=1,1,IF(CdTrp2!S77=2,2,IF(CdTrp2!S77=3,2,0)))</f>
        <v>0</v>
      </c>
      <c r="CT49" s="173">
        <f>IF(CdTrp2!T77=1,1,IF(CdTrp2!T77=2,2,IF(CdTrp2!T77=3,2,0)))</f>
        <v>0</v>
      </c>
      <c r="CU49" s="173">
        <f>IF(CdTrp2!U77=1,1,IF(CdTrp2!U77=2,2,IF(CdTrp2!U77=3,2,0)))</f>
        <v>0</v>
      </c>
      <c r="CV49" s="173">
        <f>IF(CdTrp2!V77=1,1,IF(CdTrp2!V77=2,2,IF(CdTrp2!V77=3,2,0)))</f>
        <v>0</v>
      </c>
      <c r="CW49" s="173">
        <f>IF(CdTrp2!W77=1,1,IF(CdTrp2!W77=2,2,IF(CdTrp2!W77=3,2,0)))</f>
        <v>0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2</v>
      </c>
      <c r="CV50" s="173">
        <f>IF(CdTrp2!V78=1,1,IF(CdTrp2!V78=2,2,IF(CdTrp2!V78=3,2,0)))</f>
        <v>2</v>
      </c>
      <c r="CW50" s="173">
        <f>IF(CdTrp2!W78=1,1,IF(CdTrp2!W78=2,2,IF(CdTrp2!W78=3,2,0)))</f>
        <v>2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Broutards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14.9</v>
      </c>
      <c r="C55" s="190">
        <f>IF(B55&gt;[1]Trav!E121,[1]Trav!C121,[1]Trav!B121)</f>
        <v>7.2</v>
      </c>
      <c r="D55"/>
      <c r="E55" s="172"/>
      <c r="F55" s="173">
        <f t="shared" si="32"/>
        <v>107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11</v>
      </c>
      <c r="C56" s="190">
        <f>IF(B56&gt;[1]Trav!E121,[1]Trav!C121,[1]Trav!B121)</f>
        <v>7.2</v>
      </c>
      <c r="D56"/>
      <c r="E56" s="172"/>
      <c r="F56" s="173">
        <f t="shared" si="32"/>
        <v>79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221</v>
      </c>
      <c r="BH60" s="173">
        <f>IF(BH15=0,0,IF(BH37=3,0,VALUE(CONCATENATE(Travail!BH26,Travail!BH37,Travail!BH48))))</f>
        <v>221</v>
      </c>
      <c r="BI60" s="173">
        <f>IF(BI15=0,0,IF(BI37=3,0,VALUE(CONCATENATE(Travail!BI26,Travail!BI37,Travail!BI48))))</f>
        <v>221</v>
      </c>
      <c r="BJ60" s="173">
        <f>IF(BJ15=0,0,IF(BJ37=3,0,VALUE(CONCATENATE(Travail!BJ26,Travail!BJ37,Travail!BJ48))))</f>
        <v>221</v>
      </c>
      <c r="BK60" s="173">
        <f>IF(BK15=0,0,IF(BK37=3,0,VALUE(CONCATENATE(Travail!BK26,Travail!BK37,Travail!BK48))))</f>
        <v>221</v>
      </c>
      <c r="BL60" s="173">
        <f>IF(BL15=0,0,IF(BL37=3,0,VALUE(CONCATENATE(Travail!BL26,Travail!BL37,Travail!BL48))))</f>
        <v>221</v>
      </c>
      <c r="BM60" s="173">
        <f>IF(BM15=0,0,IF(BM37=3,0,VALUE(CONCATENATE(Travail!BM26,Travail!BM37,Travail!BM48))))</f>
        <v>221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211</v>
      </c>
      <c r="CM60" s="173">
        <f>IF(CM15=0,0,IF(CM37=3,0,VALUE(CONCATENATE(Travail!CM26,Travail!CM37,Travail!CM48))))</f>
        <v>211</v>
      </c>
      <c r="CN60" s="173">
        <f>IF(CN15=0,0,IF(CN37=3,0,VALUE(CONCATENATE(Travail!CN26,Travail!CN37,Travail!CN48))))</f>
        <v>211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211</v>
      </c>
      <c r="CS60" s="173">
        <f>IF(CS15=0,0,IF(CS37=3,0,VALUE(CONCATENATE(Travail!CS26,Travail!CS37,Travail!CS48))))</f>
        <v>211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221</v>
      </c>
      <c r="BA61" s="173">
        <f>IF(BA16=0,0,IF(BA38=3,0,VALUE(CONCATENATE(Travail!BA27,Travail!BA38,Travail!BA49))))</f>
        <v>221</v>
      </c>
      <c r="BB61" s="173">
        <f>IF(BB16=0,0,IF(BB38=3,0,VALUE(CONCATENATE(Travail!BB27,Travail!BB38,Travail!BB49))))</f>
        <v>221</v>
      </c>
      <c r="BC61" s="173">
        <f>IF(BC16=0,0,IF(BC38=3,0,VALUE(CONCATENATE(Travail!BC27,Travail!BC38,Travail!BC49))))</f>
        <v>221</v>
      </c>
      <c r="BD61" s="173">
        <f>IF(BD16=0,0,IF(BD38=3,0,VALUE(CONCATENATE(Travail!BD27,Travail!BD38,Travail!BD49))))</f>
        <v>221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221</v>
      </c>
      <c r="BP61" s="173">
        <f>IF(BP16=0,0,IF(BP38=3,0,VALUE(CONCATENATE(Travail!BP27,Travail!BP38,Travail!BP49))))</f>
        <v>221</v>
      </c>
      <c r="BQ61" s="173">
        <f>IF(BQ16=0,0,IF(BQ38=3,0,VALUE(CONCATENATE(Travail!BQ27,Travail!BQ38,Travail!BQ49))))</f>
        <v>221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0</v>
      </c>
      <c r="CH61" s="173">
        <f>IF(CH16=0,0,IF(CH38=3,0,VALUE(CONCATENATE(Travail!CH27,Travail!CH38,Travail!CH49))))</f>
        <v>0</v>
      </c>
      <c r="CI61" s="173">
        <f>IF(CI16=0,0,IF(CI38=3,0,VALUE(CONCATENATE(Travail!CI27,Travail!CI38,Travail!CI49))))</f>
        <v>0</v>
      </c>
      <c r="CJ61" s="173">
        <f>IF(CJ16=0,0,IF(CJ38=3,0,VALUE(CONCATENATE(Travail!CJ27,Travail!CJ38,Travail!CJ49))))</f>
        <v>0</v>
      </c>
      <c r="CK61" s="173">
        <f>IF(CK16=0,0,IF(CK38=3,0,VALUE(CONCATENATE(Travail!CK27,Travail!CK38,Travail!CK49))))</f>
        <v>0</v>
      </c>
      <c r="CL61" s="173">
        <f>IF(CL16=0,0,IF(CL38=3,0,VALUE(CONCATENATE(Travail!CL27,Travail!CL38,Travail!CL49))))</f>
        <v>0</v>
      </c>
      <c r="CM61" s="173">
        <f>IF(CM16=0,0,IF(CM38=3,0,VALUE(CONCATENATE(Travail!CM27,Travail!CM38,Travail!CM49))))</f>
        <v>0</v>
      </c>
      <c r="CN61" s="173">
        <f>IF(CN16=0,0,IF(CN38=3,0,VALUE(CONCATENATE(Travail!CN27,Travail!CN38,Travail!CN49))))</f>
        <v>0</v>
      </c>
      <c r="CO61" s="173">
        <f>IF(CO16=0,0,IF(CO38=3,0,VALUE(CONCATENATE(Travail!CO27,Travail!CO38,Travail!CO49))))</f>
        <v>0</v>
      </c>
      <c r="CP61" s="173">
        <f>IF(CP16=0,0,IF(CP38=3,0,VALUE(CONCATENATE(Travail!CP27,Travail!CP38,Travail!CP49))))</f>
        <v>0</v>
      </c>
      <c r="CQ61" s="173">
        <f>IF(CQ16=0,0,IF(CQ38=3,0,VALUE(CONCATENATE(Travail!CQ27,Travail!CQ38,Travail!CQ49))))</f>
        <v>0</v>
      </c>
      <c r="CR61" s="173">
        <f>IF(CR16=0,0,IF(CR38=3,0,VALUE(CONCATENATE(Travail!CR27,Travail!CR38,Travail!CR49))))</f>
        <v>0</v>
      </c>
      <c r="CS61" s="173">
        <f>IF(CS16=0,0,IF(CS38=3,0,VALUE(CONCATENATE(Travail!CS27,Travail!CS38,Travail!CS49))))</f>
        <v>0</v>
      </c>
      <c r="CT61" s="173">
        <f>IF(CT16=0,0,IF(CT38=3,0,VALUE(CONCATENATE(Travail!CT27,Travail!CT38,Travail!CT49))))</f>
        <v>0</v>
      </c>
      <c r="CU61" s="173">
        <f>IF(CU16=0,0,IF(CU38=3,0,VALUE(CONCATENATE(Travail!CU27,Travail!CU38,Travail!CU49))))</f>
        <v>0</v>
      </c>
      <c r="CV61" s="173">
        <f>IF(CV16=0,0,IF(CV38=3,0,VALUE(CONCATENATE(Travail!CV27,Travail!CV38,Travail!CV49))))</f>
        <v>0</v>
      </c>
      <c r="CW61" s="173">
        <f>IF(CW16=0,0,IF(CW38=3,0,VALUE(CONCATENATE(Travail!CW27,Travail!CW38,Travail!CW49))))</f>
        <v>0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112</v>
      </c>
      <c r="CV62" s="173">
        <f>IF(CV17=0,0,IF(CV39=3,0,VALUE(CONCATENATE(Travail!CV28,Travail!CV39,Travail!CV50))))</f>
        <v>112</v>
      </c>
      <c r="CW62" s="173">
        <f>IF(CW17=0,0,IF(CW39=3,0,VALUE(CONCATENATE(Travail!CW28,Travail!CW39,Travail!CW50))))</f>
        <v>112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Broutards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22</v>
      </c>
      <c r="BH71" s="173">
        <f t="shared" si="36"/>
        <v>22</v>
      </c>
      <c r="BI71" s="173">
        <f t="shared" si="36"/>
        <v>22</v>
      </c>
      <c r="BJ71" s="173">
        <f t="shared" si="36"/>
        <v>22</v>
      </c>
      <c r="BK71" s="173">
        <f t="shared" si="36"/>
        <v>22</v>
      </c>
      <c r="BL71" s="173">
        <f t="shared" si="36"/>
        <v>22</v>
      </c>
      <c r="BM71" s="173">
        <f t="shared" si="36"/>
        <v>22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" si="39">ROUND(SUM(G72:AD72),0)</f>
        <v>205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23</v>
      </c>
      <c r="CH72" s="173">
        <f t="shared" si="37"/>
        <v>23</v>
      </c>
      <c r="CI72" s="173">
        <f t="shared" si="37"/>
        <v>23</v>
      </c>
      <c r="CJ72" s="173">
        <f t="shared" si="37"/>
        <v>23</v>
      </c>
      <c r="CK72" s="173">
        <f t="shared" si="37"/>
        <v>23</v>
      </c>
      <c r="CL72" s="173">
        <f t="shared" si="37"/>
        <v>23</v>
      </c>
      <c r="CM72" s="173">
        <f t="shared" si="37"/>
        <v>23</v>
      </c>
      <c r="CN72" s="173">
        <f t="shared" si="37"/>
        <v>23</v>
      </c>
      <c r="CO72" s="173">
        <f t="shared" si="37"/>
        <v>23</v>
      </c>
      <c r="CP72" s="173">
        <f t="shared" si="37"/>
        <v>23</v>
      </c>
      <c r="CQ72" s="173">
        <f t="shared" si="37"/>
        <v>23</v>
      </c>
      <c r="CR72" s="173">
        <f t="shared" si="37"/>
        <v>23</v>
      </c>
      <c r="CS72" s="173">
        <f t="shared" si="37"/>
        <v>23</v>
      </c>
      <c r="CT72" s="173">
        <f t="shared" si="37"/>
        <v>23</v>
      </c>
      <c r="CU72" s="173">
        <f t="shared" si="37"/>
        <v>23</v>
      </c>
      <c r="CV72" s="173">
        <f t="shared" si="37"/>
        <v>23</v>
      </c>
      <c r="CW72" s="173">
        <f t="shared" si="37"/>
        <v>23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80"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5</v>
      </c>
      <c r="J73" s="173">
        <f>IF(AND(Troupeau!$C$3="BV",Scénario!$K$87&gt;2),Protection!F25*([1]Protect!$B$22+[1]Protect!$B$23),0)</f>
        <v>5</v>
      </c>
      <c r="K73" s="173">
        <f>IF(AND(Troupeau!$C$3="BV",Scénario!$K$87&gt;2),Protection!G25*([1]Protect!$B$22+[1]Protect!$B$23),0)</f>
        <v>5</v>
      </c>
      <c r="L73" s="173">
        <f>IF(AND(Troupeau!$C$3="BV",Scénario!$K$87&gt;2),Protection!H25*([1]Protect!$B$22+[1]Protect!$B$23),0)</f>
        <v>5</v>
      </c>
      <c r="M73" s="173">
        <f>IF(AND(Troupeau!$C$3="BV",Scénario!$K$87&gt;2),Protection!I25*([1]Protect!$B$22+[1]Protect!$B$23),0)</f>
        <v>10</v>
      </c>
      <c r="N73" s="173">
        <f>IF(AND(Troupeau!$C$3="BV",Scénario!$K$87&gt;2),Protection!J25*([1]Protect!$B$22+[1]Protect!$B$23),0)</f>
        <v>10</v>
      </c>
      <c r="O73" s="173">
        <f>IF(AND(Troupeau!$C$3="BV",Scénario!$K$87&gt;2),Protection!K25*([1]Protect!$B$22+[1]Protect!$B$23),0)</f>
        <v>10</v>
      </c>
      <c r="P73" s="173">
        <f>IF(AND(Troupeau!$C$3="BV",Scénario!$K$87&gt;2),Protection!L25*([1]Protect!$B$22+[1]Protect!$B$23),0)</f>
        <v>10</v>
      </c>
      <c r="Q73" s="173">
        <f>IF(AND(Troupeau!$C$3="BV",Scénario!$K$87&gt;2),Protection!M25*([1]Protect!$B$22+[1]Protect!$B$23),0)</f>
        <v>10</v>
      </c>
      <c r="R73" s="173">
        <f>IF(AND(Troupeau!$C$3="BV",Scénario!$K$87&gt;2),Protection!N25*([1]Protect!$B$22+[1]Protect!$B$23),0)</f>
        <v>10</v>
      </c>
      <c r="S73" s="173">
        <f>IF(AND(Troupeau!$C$3="BV",Scénario!$K$87&gt;2),Protection!O25*([1]Protect!$B$22+[1]Protect!$B$23),0)</f>
        <v>10</v>
      </c>
      <c r="T73" s="173">
        <f>IF(AND(Troupeau!$C$3="BV",Scénario!$K$87&gt;2),Protection!P25*([1]Protect!$B$22+[1]Protect!$B$23),0)</f>
        <v>10</v>
      </c>
      <c r="U73" s="173">
        <f>IF(AND(Troupeau!$C$3="BV",Scénario!$K$87&gt;2),Protection!Q25*([1]Protect!$B$22+[1]Protect!$B$23),0)</f>
        <v>10</v>
      </c>
      <c r="V73" s="173">
        <f>IF(AND(Troupeau!$C$3="BV",Scénario!$K$87&gt;2),Protection!R25*([1]Protect!$B$22+[1]Protect!$B$23),0)</f>
        <v>10</v>
      </c>
      <c r="W73" s="173">
        <f>IF(AND(Troupeau!$C$3="BV",Scénario!$K$87&gt;2),Protection!S25*([1]Protect!$B$22+[1]Protect!$B$23),0)</f>
        <v>10</v>
      </c>
      <c r="X73" s="173">
        <f>IF(AND(Troupeau!$C$3="BV",Scénario!$K$87&gt;2),Protection!T25*([1]Protect!$B$22+[1]Protect!$B$23),0)</f>
        <v>10</v>
      </c>
      <c r="Y73" s="173">
        <f>IF(AND(Troupeau!$C$3="BV",Scénario!$K$87&gt;2),Protection!U25*([1]Protect!$B$22+[1]Protect!$B$23),0)</f>
        <v>10</v>
      </c>
      <c r="Z73" s="173">
        <f>IF(AND(Troupeau!$C$3="BV",Scénario!$K$87&gt;2),Protection!V25*([1]Protect!$B$22+[1]Protect!$B$23),0)</f>
        <v>10</v>
      </c>
      <c r="AA73" s="173">
        <f>IF(AND(Troupeau!$C$3="BV",Scénario!$K$87&gt;2),Protection!W25*([1]Protect!$B$22+[1]Protect!$B$23),0)</f>
        <v>10</v>
      </c>
      <c r="AB73" s="173">
        <f>IF(AND(Troupeau!$C$3="BV",Scénario!$K$87&gt;2),Protection!X25*([1]Protect!$B$22+[1]Protect!$B$23),0)</f>
        <v>10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Broutards</v>
      </c>
      <c r="CB74" s="173">
        <f t="shared" si="37"/>
        <v>23</v>
      </c>
      <c r="CC74" s="173">
        <f t="shared" si="37"/>
        <v>23</v>
      </c>
      <c r="CD74" s="173">
        <f t="shared" si="37"/>
        <v>23</v>
      </c>
      <c r="CE74" s="173">
        <f t="shared" si="37"/>
        <v>23</v>
      </c>
      <c r="CF74" s="173">
        <f t="shared" si="37"/>
        <v>23</v>
      </c>
      <c r="CG74" s="173">
        <f t="shared" si="37"/>
        <v>23</v>
      </c>
      <c r="CH74" s="173">
        <f t="shared" si="37"/>
        <v>23</v>
      </c>
      <c r="CI74" s="173">
        <f t="shared" si="37"/>
        <v>23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23</v>
      </c>
      <c r="CU74" s="173">
        <f t="shared" si="37"/>
        <v>23</v>
      </c>
      <c r="CV74" s="173">
        <f t="shared" si="37"/>
        <v>23</v>
      </c>
      <c r="CW74" s="173">
        <f t="shared" si="37"/>
        <v>23</v>
      </c>
      <c r="CX74" s="173">
        <f t="shared" si="37"/>
        <v>23</v>
      </c>
      <c r="CY74" s="173">
        <f t="shared" si="37"/>
        <v>23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469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13.5</v>
      </c>
      <c r="J77" s="46">
        <f t="shared" si="43"/>
        <v>18.5</v>
      </c>
      <c r="K77" s="46">
        <f t="shared" si="43"/>
        <v>18.5</v>
      </c>
      <c r="L77" s="46">
        <f t="shared" si="43"/>
        <v>18.5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23.5</v>
      </c>
      <c r="Q77" s="46">
        <f t="shared" si="43"/>
        <v>23.5</v>
      </c>
      <c r="R77" s="46">
        <f t="shared" si="43"/>
        <v>23.5</v>
      </c>
      <c r="S77" s="46">
        <f t="shared" si="43"/>
        <v>23.5</v>
      </c>
      <c r="T77" s="46">
        <f t="shared" si="43"/>
        <v>23.5</v>
      </c>
      <c r="U77" s="46">
        <f t="shared" si="43"/>
        <v>23.5</v>
      </c>
      <c r="V77" s="46">
        <f t="shared" si="43"/>
        <v>23.5</v>
      </c>
      <c r="W77" s="46">
        <f t="shared" si="43"/>
        <v>23.5</v>
      </c>
      <c r="X77" s="46">
        <f t="shared" si="43"/>
        <v>23.5</v>
      </c>
      <c r="Y77" s="46">
        <f t="shared" si="43"/>
        <v>23.5</v>
      </c>
      <c r="Z77" s="46">
        <f t="shared" si="43"/>
        <v>23.5</v>
      </c>
      <c r="AA77" s="46">
        <f t="shared" si="43"/>
        <v>18.5</v>
      </c>
      <c r="AB77" s="46">
        <f t="shared" si="43"/>
        <v>18.5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0.56999999999999995</v>
      </c>
      <c r="C81" s="190">
        <f>[1]Protect!$B$10</f>
        <v>4</v>
      </c>
      <c r="D81" s="172"/>
      <c r="E81" s="172"/>
      <c r="F81" s="173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2</v>
      </c>
      <c r="CC81" s="173">
        <f>COUNTIF(CC$71:CC$80,23)</f>
        <v>2</v>
      </c>
      <c r="CD81" s="173">
        <f t="shared" ref="CD81:CY81" si="45">COUNTIF(CD$71:CD$80,23)</f>
        <v>2</v>
      </c>
      <c r="CE81" s="173">
        <f t="shared" si="45"/>
        <v>2</v>
      </c>
      <c r="CF81" s="173">
        <f t="shared" si="45"/>
        <v>2</v>
      </c>
      <c r="CG81" s="173">
        <f t="shared" si="45"/>
        <v>3</v>
      </c>
      <c r="CH81" s="173">
        <f t="shared" si="45"/>
        <v>2</v>
      </c>
      <c r="CI81" s="173">
        <f t="shared" si="45"/>
        <v>2</v>
      </c>
      <c r="CJ81" s="173">
        <f t="shared" si="45"/>
        <v>1</v>
      </c>
      <c r="CK81" s="173">
        <f t="shared" si="45"/>
        <v>1</v>
      </c>
      <c r="CL81" s="173">
        <f t="shared" si="45"/>
        <v>1</v>
      </c>
      <c r="CM81" s="173">
        <f t="shared" si="45"/>
        <v>1</v>
      </c>
      <c r="CN81" s="173">
        <f t="shared" si="45"/>
        <v>1</v>
      </c>
      <c r="CO81" s="173">
        <f t="shared" si="45"/>
        <v>1</v>
      </c>
      <c r="CP81" s="173">
        <f t="shared" si="45"/>
        <v>1</v>
      </c>
      <c r="CQ81" s="173">
        <f t="shared" si="45"/>
        <v>1</v>
      </c>
      <c r="CR81" s="173">
        <f t="shared" si="45"/>
        <v>1</v>
      </c>
      <c r="CS81" s="173">
        <f t="shared" si="45"/>
        <v>1</v>
      </c>
      <c r="CT81" s="173">
        <f t="shared" si="45"/>
        <v>2</v>
      </c>
      <c r="CU81" s="173">
        <f t="shared" si="45"/>
        <v>2</v>
      </c>
      <c r="CV81" s="173">
        <f t="shared" si="45"/>
        <v>2</v>
      </c>
      <c r="CW81" s="173">
        <f t="shared" si="45"/>
        <v>2</v>
      </c>
      <c r="CX81" s="173">
        <f t="shared" si="45"/>
        <v>2</v>
      </c>
      <c r="CY81" s="173">
        <f t="shared" si="45"/>
        <v>2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5.2939999999999996</v>
      </c>
      <c r="C83" s="190">
        <f>[1]Protect!$B$24+[1]Protect!$B$26</f>
        <v>0.33</v>
      </c>
      <c r="D83" s="172"/>
      <c r="E83" s="172"/>
      <c r="F83" s="173">
        <f>ROUND(B83*C83,1)</f>
        <v>1.7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2</v>
      </c>
      <c r="BH83" s="173">
        <f t="shared" si="50"/>
        <v>2</v>
      </c>
      <c r="BI83" s="173">
        <f t="shared" si="50"/>
        <v>2</v>
      </c>
      <c r="BJ83" s="173">
        <f t="shared" si="50"/>
        <v>2</v>
      </c>
      <c r="BK83" s="173">
        <f t="shared" si="50"/>
        <v>2</v>
      </c>
      <c r="BL83" s="173">
        <f t="shared" si="50"/>
        <v>2</v>
      </c>
      <c r="BM83" s="173">
        <f t="shared" si="50"/>
        <v>2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1</v>
      </c>
      <c r="CW83" s="173">
        <f t="shared" si="51"/>
        <v>1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4.2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42</v>
      </c>
      <c r="CJ86" s="190">
        <f>IF(CJ85=0,0,HLOOKUP(CJ85,[1]Trav!$C$39:$G$59,$AU$105))</f>
        <v>42</v>
      </c>
      <c r="CK86" s="190">
        <f>IF(CK85=0,0,HLOOKUP(CK85,[1]Trav!$C$39:$G$59,$AU$105))</f>
        <v>42</v>
      </c>
      <c r="CL86" s="190">
        <f>IF(CL85=0,0,HLOOKUP(CL85,[1]Trav!$C$39:$G$59,$AU$105))</f>
        <v>42</v>
      </c>
      <c r="CM86" s="190">
        <f>IF(CM85=0,0,HLOOKUP(CM85,[1]Trav!$C$39:$G$59,$AU$105))</f>
        <v>42</v>
      </c>
      <c r="CN86" s="190">
        <f>IF(CN85=0,0,HLOOKUP(CN85,[1]Trav!$C$39:$G$59,$AU$105))</f>
        <v>42</v>
      </c>
      <c r="CO86" s="190">
        <f>IF(CO85=0,0,HLOOKUP(CO85,[1]Trav!$C$39:$G$59,$AU$105))</f>
        <v>42</v>
      </c>
      <c r="CP86" s="190">
        <f>IF(CP85=0,0,HLOOKUP(CP85,[1]Trav!$C$39:$G$59,$AU$105))</f>
        <v>42</v>
      </c>
      <c r="CQ86" s="190">
        <f>IF(CQ85=0,0,HLOOKUP(CQ85,[1]Trav!$C$39:$G$59,$AU$105))</f>
        <v>42</v>
      </c>
      <c r="CR86" s="190">
        <f>IF(CR85=0,0,HLOOKUP(CR85,[1]Trav!$C$39:$G$59,$AU$105))</f>
        <v>42</v>
      </c>
      <c r="CS86" s="190">
        <f>IF(CS85=0,0,HLOOKUP(CS85,[1]Trav!$C$39:$G$59,$AU$105))</f>
        <v>42</v>
      </c>
      <c r="CT86" s="190">
        <f>IF(CT85=0,0,HLOOKUP(CT85,[1]Trav!$C$39:$G$59,$AU$105))</f>
        <v>42</v>
      </c>
      <c r="CU86" s="190">
        <f>IF(CU85=0,0,HLOOKUP(CU85,[1]Trav!$C$39:$G$59,$AU$105))</f>
        <v>42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299.5695652173913</v>
      </c>
      <c r="BH90" s="173">
        <f t="shared" si="60"/>
        <v>299.5695652173913</v>
      </c>
      <c r="BI90" s="173">
        <f t="shared" si="60"/>
        <v>299.5695652173913</v>
      </c>
      <c r="BJ90" s="173">
        <f t="shared" si="60"/>
        <v>299.5695652173913</v>
      </c>
      <c r="BK90" s="173">
        <f t="shared" si="60"/>
        <v>299.5695652173913</v>
      </c>
      <c r="BL90" s="173">
        <f t="shared" si="60"/>
        <v>299.5695652173913</v>
      </c>
      <c r="BM90" s="173">
        <f t="shared" si="60"/>
        <v>299.5695652173913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1666.4957826086957</v>
      </c>
      <c r="C91" s="5"/>
      <c r="D91" s="202">
        <f>B91/Troupeau!$B$17</f>
        <v>4.6680554134697356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1.68</v>
      </c>
      <c r="CH91" s="173">
        <f t="shared" si="62"/>
        <v>3.36</v>
      </c>
      <c r="CI91" s="173">
        <f t="shared" si="62"/>
        <v>5.04</v>
      </c>
      <c r="CJ91" s="173">
        <f t="shared" si="62"/>
        <v>5.04</v>
      </c>
      <c r="CK91" s="173">
        <f t="shared" si="62"/>
        <v>5.04</v>
      </c>
      <c r="CL91" s="173">
        <f t="shared" si="62"/>
        <v>5.04</v>
      </c>
      <c r="CM91" s="173">
        <f t="shared" si="62"/>
        <v>5.04</v>
      </c>
      <c r="CN91" s="173">
        <f t="shared" si="62"/>
        <v>5.04</v>
      </c>
      <c r="CO91" s="173">
        <f t="shared" si="62"/>
        <v>5.04</v>
      </c>
      <c r="CP91" s="173">
        <f t="shared" si="62"/>
        <v>5.04</v>
      </c>
      <c r="CQ91" s="173">
        <f t="shared" si="62"/>
        <v>5.04</v>
      </c>
      <c r="CR91" s="173">
        <f t="shared" si="62"/>
        <v>5.04</v>
      </c>
      <c r="CS91" s="173">
        <f t="shared" si="62"/>
        <v>5.04</v>
      </c>
      <c r="CT91" s="173">
        <f t="shared" si="62"/>
        <v>4.2</v>
      </c>
      <c r="CU91" s="173">
        <f t="shared" si="62"/>
        <v>4.2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1152.9000000000001</v>
      </c>
      <c r="C92" s="5"/>
      <c r="D92" s="202">
        <f>IF(B92=0,0,B92/Troupeau!$C$17)</f>
        <v>54.900000000000006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Broutards</v>
      </c>
      <c r="CB93" s="173">
        <f t="shared" si="62"/>
        <v>15.5</v>
      </c>
      <c r="CC93" s="173">
        <f t="shared" si="62"/>
        <v>15.5</v>
      </c>
      <c r="CD93" s="173">
        <f t="shared" si="62"/>
        <v>15.5</v>
      </c>
      <c r="CE93" s="173">
        <f t="shared" si="62"/>
        <v>15.5</v>
      </c>
      <c r="CF93" s="173">
        <f t="shared" si="62"/>
        <v>15.5</v>
      </c>
      <c r="CG93" s="173">
        <f t="shared" si="62"/>
        <v>12</v>
      </c>
      <c r="CH93" s="173">
        <f t="shared" si="62"/>
        <v>8</v>
      </c>
      <c r="CI93" s="173">
        <f t="shared" si="62"/>
        <v>4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3.4</v>
      </c>
      <c r="CU93" s="173">
        <f t="shared" si="62"/>
        <v>7</v>
      </c>
      <c r="CV93" s="173">
        <f t="shared" si="62"/>
        <v>10</v>
      </c>
      <c r="CW93" s="173">
        <f t="shared" si="62"/>
        <v>12.5</v>
      </c>
      <c r="CX93" s="173">
        <f t="shared" si="62"/>
        <v>15</v>
      </c>
      <c r="CY93" s="173">
        <f t="shared" si="62"/>
        <v>17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2819.3957826086958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380.28260869565219</v>
      </c>
      <c r="BH99" s="62">
        <f t="shared" si="68"/>
        <v>380.28260869565219</v>
      </c>
      <c r="BI99" s="62">
        <f t="shared" si="68"/>
        <v>380.28260869565219</v>
      </c>
      <c r="BJ99" s="62">
        <f t="shared" si="68"/>
        <v>380.28260869565219</v>
      </c>
      <c r="BK99" s="62">
        <f t="shared" si="68"/>
        <v>380.28260869565219</v>
      </c>
      <c r="BL99" s="62">
        <f t="shared" si="68"/>
        <v>380.28260869565219</v>
      </c>
      <c r="BM99" s="62">
        <f t="shared" si="68"/>
        <v>380.28260869565219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7.605652173913044</v>
      </c>
      <c r="BH100" s="173">
        <f t="shared" si="71"/>
        <v>7.605652173913044</v>
      </c>
      <c r="BI100" s="173">
        <f t="shared" si="71"/>
        <v>7.605652173913044</v>
      </c>
      <c r="BJ100" s="173">
        <f t="shared" si="71"/>
        <v>7.605652173913044</v>
      </c>
      <c r="BK100" s="173">
        <f t="shared" si="71"/>
        <v>7.605652173913044</v>
      </c>
      <c r="BL100" s="173">
        <f t="shared" si="71"/>
        <v>7.605652173913044</v>
      </c>
      <c r="BM100" s="173">
        <f t="shared" si="71"/>
        <v>7.605652173913044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6.605652173913044</v>
      </c>
      <c r="BH101" s="173">
        <f t="shared" si="74"/>
        <v>6.605652173913044</v>
      </c>
      <c r="BI101" s="173">
        <f t="shared" si="74"/>
        <v>6.605652173913044</v>
      </c>
      <c r="BJ101" s="173">
        <f t="shared" si="74"/>
        <v>6.605652173913044</v>
      </c>
      <c r="BK101" s="173">
        <f t="shared" si="74"/>
        <v>6.605652173913044</v>
      </c>
      <c r="BL101" s="173">
        <f t="shared" si="74"/>
        <v>6.605652173913044</v>
      </c>
      <c r="BM101" s="173">
        <f t="shared" si="74"/>
        <v>6.605652173913044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54.91804347826087</v>
      </c>
      <c r="BB102" s="62">
        <f t="shared" si="77"/>
        <v>54.863717391304348</v>
      </c>
      <c r="BC102" s="62">
        <f t="shared" si="77"/>
        <v>54.809391304347827</v>
      </c>
      <c r="BD102" s="62">
        <f t="shared" si="77"/>
        <v>54.700739130434783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32.559891304347829</v>
      </c>
      <c r="BH102" s="62">
        <f t="shared" si="77"/>
        <v>32.559891304347829</v>
      </c>
      <c r="BI102" s="62">
        <f t="shared" si="77"/>
        <v>32.559891304347829</v>
      </c>
      <c r="BJ102" s="62">
        <f t="shared" si="77"/>
        <v>32.559891304347829</v>
      </c>
      <c r="BK102" s="62">
        <f t="shared" si="77"/>
        <v>32.559891304347829</v>
      </c>
      <c r="BL102" s="62">
        <f t="shared" si="77"/>
        <v>32.559891304347829</v>
      </c>
      <c r="BM102" s="62">
        <f t="shared" si="77"/>
        <v>32.559891304347829</v>
      </c>
      <c r="BN102" s="62">
        <f t="shared" si="77"/>
        <v>32.559891304347829</v>
      </c>
      <c r="BO102" s="62">
        <f t="shared" si="77"/>
        <v>53.070956521739127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14</v>
      </c>
      <c r="BH106" s="190">
        <f>IF(BH60&gt;0,HLOOKUP(BH60,[1]Trav!$C$11:$O$31,$AU$105),0)</f>
        <v>14</v>
      </c>
      <c r="BI106" s="190">
        <f>IF(BI60&gt;0,HLOOKUP(BI60,[1]Trav!$C$11:$O$31,$AU$105),0)</f>
        <v>14</v>
      </c>
      <c r="BJ106" s="190">
        <f>IF(BJ60&gt;0,HLOOKUP(BJ60,[1]Trav!$C$11:$O$31,$AU$105),0)</f>
        <v>14</v>
      </c>
      <c r="BK106" s="190">
        <f>IF(BK60&gt;0,HLOOKUP(BK60,[1]Trav!$C$11:$O$31,$AU$105),0)</f>
        <v>14</v>
      </c>
      <c r="BL106" s="190">
        <f>IF(BL60&gt;0,HLOOKUP(BL60,[1]Trav!$C$11:$O$31,$AU$105),0)</f>
        <v>14</v>
      </c>
      <c r="BM106" s="190">
        <f>IF(BM60&gt;0,HLOOKUP(BM60,[1]Trav!$C$11:$O$31,$AU$105),0)</f>
        <v>14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3.5</v>
      </c>
      <c r="CM106" s="190">
        <f>IF(CM60&gt;0,HLOOKUP(CM60,[1]Trav!$C$11:$O$31,$CA$105),0)</f>
        <v>3.5</v>
      </c>
      <c r="CN106" s="190">
        <f>IF(CN60&gt;0,HLOOKUP(CN60,[1]Trav!$C$11:$O$31,$CA$105),0)</f>
        <v>3.5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3.5</v>
      </c>
      <c r="CS106" s="190">
        <f>IF(CS60&gt;0,HLOOKUP(CS60,[1]Trav!$C$11:$O$31,$CA$105),0)</f>
        <v>3.5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14</v>
      </c>
      <c r="BA107" s="190">
        <f>IF(BA61&gt;0,HLOOKUP(BA61,[1]Trav!$C$11:$O$31,$AU$105),0)</f>
        <v>14</v>
      </c>
      <c r="BB107" s="190">
        <f>IF(BB61&gt;0,HLOOKUP(BB61,[1]Trav!$C$11:$O$31,$AU$105),0)</f>
        <v>14</v>
      </c>
      <c r="BC107" s="190">
        <f>IF(BC61&gt;0,HLOOKUP(BC61,[1]Trav!$C$11:$O$31,$AU$105),0)</f>
        <v>14</v>
      </c>
      <c r="BD107" s="190">
        <f>IF(BD61&gt;0,HLOOKUP(BD61,[1]Trav!$C$11:$O$31,$AU$105),0)</f>
        <v>14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14</v>
      </c>
      <c r="BP107" s="190">
        <f>IF(BP61&gt;0,HLOOKUP(BP61,[1]Trav!$C$11:$O$31,$AU$105),0)</f>
        <v>14</v>
      </c>
      <c r="BQ107" s="190">
        <f>IF(BQ61&gt;0,HLOOKUP(BQ61,[1]Trav!$C$11:$O$31,$AU$105),0)</f>
        <v>14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0</v>
      </c>
      <c r="CJ107" s="190">
        <f>IF(CJ61&gt;0,HLOOKUP(CJ61,[1]Trav!$C$11:$O$31,$CA$105),0)</f>
        <v>0</v>
      </c>
      <c r="CK107" s="190">
        <f>IF(CK61&gt;0,HLOOKUP(CK61,[1]Trav!$C$11:$O$31,$CA$105),0)</f>
        <v>0</v>
      </c>
      <c r="CL107" s="190">
        <f>IF(CL61&gt;0,HLOOKUP(CL61,[1]Trav!$C$11:$O$31,$CA$105),0)</f>
        <v>0</v>
      </c>
      <c r="CM107" s="190">
        <f>IF(CM61&gt;0,HLOOKUP(CM61,[1]Trav!$C$11:$O$31,$CA$105),0)</f>
        <v>0</v>
      </c>
      <c r="CN107" s="190">
        <f>IF(CN61&gt;0,HLOOKUP(CN61,[1]Trav!$C$11:$O$31,$CA$105),0)</f>
        <v>0</v>
      </c>
      <c r="CO107" s="190">
        <f>IF(CO61&gt;0,HLOOKUP(CO61,[1]Trav!$C$11:$O$31,$CA$105),0)</f>
        <v>0</v>
      </c>
      <c r="CP107" s="190">
        <f>IF(CP61&gt;0,HLOOKUP(CP61,[1]Trav!$C$11:$O$31,$CA$105),0)</f>
        <v>0</v>
      </c>
      <c r="CQ107" s="190">
        <f>IF(CQ61&gt;0,HLOOKUP(CQ61,[1]Trav!$C$11:$O$31,$CA$105),0)</f>
        <v>0</v>
      </c>
      <c r="CR107" s="190">
        <f>IF(CR61&gt;0,HLOOKUP(CR61,[1]Trav!$C$11:$O$31,$CA$105),0)</f>
        <v>0</v>
      </c>
      <c r="CS107" s="190">
        <f>IF(CS61&gt;0,HLOOKUP(CS61,[1]Trav!$C$11:$O$31,$CA$105),0)</f>
        <v>0</v>
      </c>
      <c r="CT107" s="190">
        <f>IF(CT61&gt;0,HLOOKUP(CT61,[1]Trav!$C$11:$O$31,$CA$105),0)</f>
        <v>0</v>
      </c>
      <c r="CU107" s="190">
        <f>IF(CU61&gt;0,HLOOKUP(CU61,[1]Trav!$C$11:$O$31,$CA$105),0)</f>
        <v>0</v>
      </c>
      <c r="CV107" s="190">
        <f>IF(CV61&gt;0,HLOOKUP(CV61,[1]Trav!$C$11:$O$31,$CA$105),0)</f>
        <v>0</v>
      </c>
      <c r="CW107" s="190">
        <f>IF(CW61&gt;0,HLOOKUP(CW61,[1]Trav!$C$11:$O$31,$CA$105),0)</f>
        <v>0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283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5.25</v>
      </c>
      <c r="CV108" s="190">
        <f>IF(CV62&gt;0,HLOOKUP(CV62,[1]Trav!$C$11:$O$31,$CA$105),0)</f>
        <v>5.25</v>
      </c>
      <c r="CW108" s="190">
        <f>IF(CW62&gt;0,HLOOKUP(CW62,[1]Trav!$C$11:$O$31,$CA$105),0)</f>
        <v>5.25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205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Broutards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205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18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5.9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28</v>
      </c>
      <c r="BB117" s="173">
        <f t="shared" si="83"/>
        <v>28</v>
      </c>
      <c r="BC117" s="173">
        <f t="shared" si="83"/>
        <v>28</v>
      </c>
      <c r="BD117" s="173">
        <f t="shared" si="83"/>
        <v>28</v>
      </c>
      <c r="BE117" s="173">
        <f t="shared" si="83"/>
        <v>28</v>
      </c>
      <c r="BF117" s="173">
        <f t="shared" si="83"/>
        <v>28</v>
      </c>
      <c r="BG117" s="173">
        <f t="shared" si="83"/>
        <v>28</v>
      </c>
      <c r="BH117" s="173">
        <f t="shared" si="83"/>
        <v>28</v>
      </c>
      <c r="BI117" s="173">
        <f t="shared" si="83"/>
        <v>28</v>
      </c>
      <c r="BJ117" s="173">
        <f t="shared" si="83"/>
        <v>28</v>
      </c>
      <c r="BK117" s="173">
        <f t="shared" si="83"/>
        <v>28</v>
      </c>
      <c r="BL117" s="173">
        <f t="shared" si="83"/>
        <v>28</v>
      </c>
      <c r="BM117" s="173">
        <f t="shared" si="83"/>
        <v>28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5.25</v>
      </c>
      <c r="CH117" s="173">
        <f t="shared" si="84"/>
        <v>15.75</v>
      </c>
      <c r="CI117" s="173">
        <f t="shared" si="84"/>
        <v>19.25</v>
      </c>
      <c r="CJ117" s="173">
        <f t="shared" si="84"/>
        <v>19.25</v>
      </c>
      <c r="CK117" s="173">
        <f t="shared" si="84"/>
        <v>19.25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19.25</v>
      </c>
      <c r="CV117" s="173">
        <f t="shared" si="84"/>
        <v>19.25</v>
      </c>
      <c r="CW117" s="173">
        <f t="shared" si="84"/>
        <v>19.25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3262.219115942029</v>
      </c>
      <c r="D118" s="202">
        <f>B118/Troupeau!$B$17</f>
        <v>9.1378686721065243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1254.9000000000001</v>
      </c>
      <c r="D119" s="202">
        <f>IF(B119=0,0,B119/Troupeau!$C$17)</f>
        <v>59.75714285714286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4517.1191159420287</v>
      </c>
    </row>
    <row r="123" spans="1:132" x14ac:dyDescent="0.25">
      <c r="A123" s="2" t="s">
        <v>856</v>
      </c>
      <c r="B123" s="30">
        <f>B108</f>
        <v>283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205</v>
      </c>
    </row>
    <row r="126" spans="1:132" x14ac:dyDescent="0.25">
      <c r="A126" s="2" t="s">
        <v>872</v>
      </c>
      <c r="B126" s="30">
        <f>B114+B115+B116</f>
        <v>23.9</v>
      </c>
    </row>
    <row r="128" spans="1:132" x14ac:dyDescent="0.25">
      <c r="A128" s="2" t="s">
        <v>873</v>
      </c>
      <c r="B128" s="201">
        <f>SUM(B122:B126)</f>
        <v>5629.0191159420283</v>
      </c>
    </row>
    <row r="129" spans="1:2" x14ac:dyDescent="0.25">
      <c r="A129" s="2" t="s">
        <v>874</v>
      </c>
      <c r="B129" s="30">
        <f>IF(Scénario!K129=1,Travail!F77+Travail!F86,F86)</f>
        <v>469</v>
      </c>
    </row>
    <row r="130" spans="1:2" x14ac:dyDescent="0.25">
      <c r="A130" s="2" t="s">
        <v>875</v>
      </c>
      <c r="B130" s="201">
        <f>ROUND((B128-B129)/(Scénario!K4+Scénario!K6),0)</f>
        <v>3440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N33" zoomScale="90" zoomScaleNormal="90" workbookViewId="0">
      <selection activeCell="S50" sqref="S50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2.06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38.36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7087.5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38.36</v>
      </c>
      <c r="AA39" s="14" t="s">
        <v>979</v>
      </c>
      <c r="AB39" s="173">
        <f>IF(Z39&gt;50,25,IF(Z39&gt;25,Z39-25,0))</f>
        <v>13.36</v>
      </c>
      <c r="AC39" s="173">
        <f>AC40+0.66*AC36</f>
        <v>231.70000000000002</v>
      </c>
      <c r="AD39" s="173">
        <f t="shared" ref="AD39:AD40" si="21">AB39*AC39</f>
        <v>3095.5120000000002</v>
      </c>
      <c r="AE39" s="282">
        <f>IF($AJ$40=0,AB39*$AC$40,AD39*$AJ$40/100)</f>
        <v>2785.9608000000003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0</v>
      </c>
      <c r="AC40" s="190">
        <f>[1]Eco!$B$34</f>
        <v>70</v>
      </c>
      <c r="AD40" s="173">
        <f t="shared" si="21"/>
        <v>0</v>
      </c>
      <c r="AE40" s="282">
        <f>IF($AJ$40=0,AB40*$AC$40,AD40*$AJ$40/100)</f>
        <v>0</v>
      </c>
      <c r="AF40" s="280"/>
      <c r="AG40" s="280"/>
      <c r="AH40" s="280"/>
      <c r="AI40" s="285" t="s">
        <v>1438</v>
      </c>
      <c r="AJ40" s="282">
        <f>IF(AJ36&lt;=AJ38,100,IF(AJ36&lt;=AJ39,90,0))</f>
        <v>90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10970.512000000001</v>
      </c>
      <c r="AE41" s="283">
        <f>ROUND(SUM(AE38:AE40)*T25,0)</f>
        <v>9873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38.36</v>
      </c>
      <c r="C42" s="215">
        <f>[1]Eco!$B$24</f>
        <v>97</v>
      </c>
      <c r="J42" s="173">
        <f>B42*C42</f>
        <v>3720.92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38.36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1879.6399999999999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38.36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2570.12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9873</v>
      </c>
      <c r="K45" s="173"/>
      <c r="L45" s="173"/>
      <c r="M45" s="173"/>
      <c r="N45" s="173"/>
      <c r="O45" s="210"/>
      <c r="U45" s="14" t="s">
        <v>990</v>
      </c>
      <c r="V45" s="173">
        <f>S55</f>
        <v>0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2893.6000000000004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38.36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13.566000000000001</v>
      </c>
      <c r="BJ47" s="217">
        <f>CdTrp2!C39</f>
        <v>13.566000000000001</v>
      </c>
      <c r="BK47" s="217">
        <f>CdTrp2!D39</f>
        <v>13.566000000000001</v>
      </c>
      <c r="BL47" s="217">
        <f>CdTrp2!E39</f>
        <v>13.566000000000001</v>
      </c>
      <c r="BM47" s="217">
        <f>CdTrp2!F39</f>
        <v>13.566000000000001</v>
      </c>
      <c r="BN47" s="217">
        <f>CdTrp2!G39</f>
        <v>13.566000000000001</v>
      </c>
      <c r="BO47" s="217">
        <f>CdTrp2!H39</f>
        <v>13.566000000000001</v>
      </c>
      <c r="BP47" s="217">
        <f>CdTrp2!I39</f>
        <v>13.566000000000001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12.851999999999999</v>
      </c>
      <c r="CB47" s="217">
        <f>CdTrp2!U39</f>
        <v>12.851999999999999</v>
      </c>
      <c r="CC47" s="217">
        <f>CdTrp2!V39</f>
        <v>13.566000000000001</v>
      </c>
      <c r="CD47" s="217">
        <f>CdTrp2!W39</f>
        <v>13.566000000000001</v>
      </c>
      <c r="CE47" s="217">
        <f>CdTrp2!X39</f>
        <v>13.566000000000001</v>
      </c>
      <c r="CF47" s="217">
        <f>CdTrp2!Y39</f>
        <v>13.566000000000001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107337.38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Broutards</v>
      </c>
      <c r="BI50" s="217">
        <f>CdTrp2!B42</f>
        <v>2.3249999999999997</v>
      </c>
      <c r="BJ50" s="217">
        <f>CdTrp2!C42</f>
        <v>2.3249999999999997</v>
      </c>
      <c r="BK50" s="217">
        <f>CdTrp2!D42</f>
        <v>2.3249999999999997</v>
      </c>
      <c r="BL50" s="217">
        <f>CdTrp2!E42</f>
        <v>2.3249999999999997</v>
      </c>
      <c r="BM50" s="217">
        <f>CdTrp2!F42</f>
        <v>2.3249999999999997</v>
      </c>
      <c r="BN50" s="217">
        <f>CdTrp2!G42</f>
        <v>1.7999999999999998</v>
      </c>
      <c r="BO50" s="217">
        <f>CdTrp2!H42</f>
        <v>1.2</v>
      </c>
      <c r="BP50" s="217">
        <f>CdTrp2!I42</f>
        <v>0.6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0.51</v>
      </c>
      <c r="CB50" s="217">
        <f>CdTrp2!U42</f>
        <v>1.05</v>
      </c>
      <c r="CC50" s="217">
        <f>CdTrp2!V42</f>
        <v>1.5</v>
      </c>
      <c r="CD50" s="217">
        <f>CdTrp2!W42</f>
        <v>1.875</v>
      </c>
      <c r="CE50" s="217">
        <f>CdTrp2!X42</f>
        <v>2.25</v>
      </c>
      <c r="CF50" s="217">
        <f>CdTrp2!Y42</f>
        <v>2.5499999999999998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0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0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Broutards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Broutards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105.54583999999998</v>
      </c>
      <c r="C118" s="190">
        <f>IF(Scénario!$K$12="BV",[1]Eco!$B$78,IF(Scénario!$K$12="BL",[1]Eco!$B$77,[1]Eco!$B$76))</f>
        <v>223</v>
      </c>
      <c r="J118" s="173">
        <f>B118*C118</f>
        <v>23536.722319999997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67.685000000000002</v>
      </c>
      <c r="C119" s="190">
        <f>[1]Eco!$B$79</f>
        <v>80</v>
      </c>
      <c r="J119" s="173">
        <f>B119*C119</f>
        <v>5414.8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18.100000000000001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651.6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3.9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242.42399999999998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2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133.68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3617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476.46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76487.646320000014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14.9</v>
      </c>
      <c r="X153" t="s">
        <v>52</v>
      </c>
      <c r="Y153" s="173">
        <f>W153-Scénario!K28</f>
        <v>-15.1</v>
      </c>
      <c r="Z153" s="173">
        <f>Y153-Y156</f>
        <v>-15.1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11</v>
      </c>
      <c r="X154" t="s">
        <v>52</v>
      </c>
      <c r="Y154" s="173">
        <f>W154-Scénario!K29</f>
        <v>-3</v>
      </c>
      <c r="Z154" s="173">
        <f>Y154</f>
        <v>-3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-15.1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-546.62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-3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-90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324</v>
      </c>
      <c r="S164" s="173">
        <f>Alim_Surf!R7</f>
        <v>3.6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3.6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3.6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0</v>
      </c>
      <c r="T165" s="173">
        <f>VLOOKUP(R165,[1]MEP!$A$4:$M$300,13)</f>
        <v>2</v>
      </c>
      <c r="U165" s="173">
        <f t="shared" ref="U165:U207" si="72">IF($T165&gt;0,$S165,0)</f>
        <v>0</v>
      </c>
      <c r="V165" s="173">
        <f t="shared" ref="V165:V207" si="73">IF($T165&gt;1,$S165,0)</f>
        <v>0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0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0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10.5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10.5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10.5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312.89999999999998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3326.127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0.5</v>
      </c>
      <c r="T167" s="173">
        <f>VLOOKUP(R167,[1]MEP!$A$4:$M$300,13)</f>
        <v>1</v>
      </c>
      <c r="U167" s="173">
        <f t="shared" si="72"/>
        <v>0.5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0.5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0.5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0.4</v>
      </c>
      <c r="T168" s="173">
        <f>VLOOKUP(R168,[1]MEP!$A$4:$M$300,13)</f>
        <v>1</v>
      </c>
      <c r="U168" s="173">
        <f t="shared" si="72"/>
        <v>0.4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0.4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0.4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38397.006999999998</v>
      </c>
      <c r="K170" s="62"/>
      <c r="L170" s="62"/>
      <c r="M170" s="62"/>
      <c r="N170" s="62"/>
      <c r="Q170">
        <v>7</v>
      </c>
      <c r="R170" s="173">
        <f>Alim_Surf!Q13</f>
        <v>303</v>
      </c>
      <c r="S170" s="173">
        <f>Alim_Surf!R13</f>
        <v>3.5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3.5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3.5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-7547.2733200000075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-5032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783.24271114049111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-21330.516031140498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-14220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0.5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0.5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0.5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3</v>
      </c>
      <c r="T188" s="173">
        <f>VLOOKUP(R188,[1]MEP!$A$4:$M$300,13)</f>
        <v>1</v>
      </c>
      <c r="U188" s="173">
        <f t="shared" si="72"/>
        <v>3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3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3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14.9</v>
      </c>
      <c r="V228" s="62">
        <f t="shared" ref="V228:W228" si="84">SUM(V164:V227)</f>
        <v>11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18.100000000000001</v>
      </c>
      <c r="AI228" s="62">
        <f t="shared" si="86"/>
        <v>3.9</v>
      </c>
      <c r="AJ228" s="62">
        <f t="shared" si="86"/>
        <v>2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5294</v>
      </c>
      <c r="U234" t="s">
        <v>1101</v>
      </c>
      <c r="V234" s="173"/>
      <c r="W234" s="173">
        <f>[1]Protect!$B$4</f>
        <v>6</v>
      </c>
      <c r="X234" s="173">
        <f>T234*W234</f>
        <v>31764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31764</v>
      </c>
      <c r="Z237" s="30">
        <f>IF(Scénario!K84=1,MIN(0.8*'Calcul éco'!X237,[1]Protect!$B$68),IF(Scénario!K84=2,MIN(0.8*'Calcul éco'!X237,[1]Protect!$B$67),0))</f>
        <v>25411.200000000001</v>
      </c>
      <c r="AA237" s="30">
        <f>X237-Z237</f>
        <v>6352.7999999999993</v>
      </c>
      <c r="AB237" s="30">
        <f>(Scénario!K127/100)*AA237</f>
        <v>0</v>
      </c>
      <c r="AC237" s="30">
        <f>AA237-AB237</f>
        <v>6352.7999999999993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783.24271114049111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4</v>
      </c>
      <c r="X245" s="173">
        <f>ROUND((([1]Protect!$B$5/[1]Protect!$B$11)+[1]Protect!$B$8)*T245,0)</f>
        <v>3617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3617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3617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2893.6000000000004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2893.6000000000004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79.41</v>
      </c>
      <c r="U272" s="173"/>
      <c r="V272" s="173"/>
      <c r="W272" s="173">
        <f>W234</f>
        <v>6</v>
      </c>
      <c r="X272" s="173">
        <f>T272*W272</f>
        <v>476.46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Z3_OLBV_T3_s4</v>
      </c>
      <c r="D1" s="275" t="str">
        <f>CONCATENATE(C1,"_corr")</f>
        <v>Z3_OLBV_T3_s4_corr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1. 1 visite par semaine</v>
      </c>
      <c r="D26" s="177" t="str">
        <f t="shared" si="0"/>
        <v>1. 1 visite par semaine</v>
      </c>
    </row>
    <row r="27" spans="2:5" x14ac:dyDescent="0.25">
      <c r="B27" s="14" t="s">
        <v>577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4</v>
      </c>
      <c r="D51" s="177">
        <f t="shared" si="0"/>
        <v>4</v>
      </c>
      <c r="E51" s="14"/>
    </row>
    <row r="52" spans="1:132" x14ac:dyDescent="0.25">
      <c r="B52" s="19" t="s">
        <v>596</v>
      </c>
      <c r="C52" s="177">
        <f>Scénario!K84</f>
        <v>1</v>
      </c>
      <c r="D52" s="177">
        <f t="shared" si="0"/>
        <v>1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1</v>
      </c>
      <c r="D55" s="177">
        <f t="shared" si="0"/>
        <v>1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Broutards</v>
      </c>
      <c r="CA67" s="274"/>
      <c r="CB67" s="173">
        <f>CdTrp2!B18*$G$63</f>
        <v>14.698275862068966</v>
      </c>
      <c r="CC67" s="173">
        <f>CdTrp2!C18*$G$63</f>
        <v>14.698275862068966</v>
      </c>
      <c r="CD67" s="173">
        <f>CdTrp2!D18*$G$63</f>
        <v>14.698275862068966</v>
      </c>
      <c r="CE67" s="173">
        <f>CdTrp2!E18*$G$63</f>
        <v>14.698275862068966</v>
      </c>
      <c r="CF67" s="173">
        <f>CdTrp2!F18*$G$63</f>
        <v>14.698275862068966</v>
      </c>
      <c r="CG67" s="173">
        <f>CdTrp2!G18*$G$63</f>
        <v>11.379310344827587</v>
      </c>
      <c r="CH67" s="173">
        <f>CdTrp2!H18*$G$63</f>
        <v>7.5862068965517242</v>
      </c>
      <c r="CI67" s="173">
        <f>CdTrp2!I18*$G$63</f>
        <v>3.7931034482758621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3.2241379310344827</v>
      </c>
      <c r="CU67" s="173">
        <f>CdTrp2!U18*$G$63</f>
        <v>6.6379310344827589</v>
      </c>
      <c r="CV67" s="173">
        <f>CdTrp2!V18*$G$63</f>
        <v>9.4827586206896548</v>
      </c>
      <c r="CW67" s="173">
        <f>CdTrp2!W18*$G$63</f>
        <v>11.853448275862069</v>
      </c>
      <c r="CX67" s="173">
        <f>CdTrp2!X18*$G$63</f>
        <v>14.224137931034482</v>
      </c>
      <c r="CY67" s="173">
        <f>CdTrp2!Y18*$G$63</f>
        <v>16.120689655172413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22.584250000000001</v>
      </c>
      <c r="D68" s="258">
        <f>ROUND(C68*$D$82/$C$82,3)</f>
        <v>21.416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71.934067391304339</v>
      </c>
      <c r="D70" s="258">
        <f>ROUND(C70*$D$82/$C$82,3)</f>
        <v>68.212999999999994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Broutards</v>
      </c>
      <c r="CB78" s="173">
        <f t="shared" si="7"/>
        <v>1</v>
      </c>
      <c r="CC78" s="173">
        <f t="shared" si="7"/>
        <v>1</v>
      </c>
      <c r="CD78" s="173">
        <f t="shared" si="7"/>
        <v>1</v>
      </c>
      <c r="CE78" s="173">
        <f t="shared" si="7"/>
        <v>1</v>
      </c>
      <c r="CF78" s="173">
        <f t="shared" si="7"/>
        <v>1</v>
      </c>
      <c r="CG78" s="173">
        <f t="shared" si="7"/>
        <v>1</v>
      </c>
      <c r="CH78" s="173">
        <f t="shared" si="7"/>
        <v>1</v>
      </c>
      <c r="CI78" s="173">
        <f t="shared" si="7"/>
        <v>1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1</v>
      </c>
      <c r="CU78" s="173">
        <f t="shared" si="7"/>
        <v>1</v>
      </c>
      <c r="CV78" s="173">
        <f t="shared" si="7"/>
        <v>1</v>
      </c>
      <c r="CW78" s="173">
        <f t="shared" si="7"/>
        <v>1</v>
      </c>
      <c r="CX78" s="173">
        <f t="shared" si="7"/>
        <v>1</v>
      </c>
      <c r="CY78" s="173">
        <f t="shared" si="7"/>
        <v>1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1.772</v>
      </c>
      <c r="D84" s="173">
        <f>ROUND(D70/D82,3)</f>
        <v>1.772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14.9</v>
      </c>
      <c r="D85" s="261">
        <f>ROUND(C85*$D$82/$C$82,3)</f>
        <v>14.129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11</v>
      </c>
      <c r="D86" s="261">
        <f t="shared" ref="D86:D97" si="14">ROUND(C86*$D$82/$C$82,3)</f>
        <v>10.430999999999999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Broutards</v>
      </c>
      <c r="CA90" s="192" t="str">
        <f>Scénario!K109</f>
        <v>fort</v>
      </c>
      <c r="CB90" s="173">
        <f t="shared" si="21"/>
        <v>2</v>
      </c>
      <c r="CC90" s="173">
        <f t="shared" si="18"/>
        <v>2</v>
      </c>
      <c r="CD90" s="173">
        <f t="shared" si="18"/>
        <v>2</v>
      </c>
      <c r="CE90" s="173">
        <f t="shared" si="18"/>
        <v>2</v>
      </c>
      <c r="CF90" s="173">
        <f t="shared" si="18"/>
        <v>2</v>
      </c>
      <c r="CG90" s="173">
        <f t="shared" si="18"/>
        <v>2</v>
      </c>
      <c r="CH90" s="173">
        <f t="shared" si="18"/>
        <v>2</v>
      </c>
      <c r="CI90" s="173">
        <f t="shared" si="18"/>
        <v>2</v>
      </c>
      <c r="CJ90" s="173">
        <f t="shared" si="18"/>
        <v>2</v>
      </c>
      <c r="CK90" s="173">
        <f t="shared" si="18"/>
        <v>2</v>
      </c>
      <c r="CL90" s="173">
        <f t="shared" si="18"/>
        <v>2</v>
      </c>
      <c r="CM90" s="173">
        <f t="shared" si="18"/>
        <v>2</v>
      </c>
      <c r="CN90" s="173">
        <f t="shared" si="18"/>
        <v>2</v>
      </c>
      <c r="CO90" s="173">
        <f t="shared" si="18"/>
        <v>2</v>
      </c>
      <c r="CP90" s="173">
        <f t="shared" si="18"/>
        <v>2</v>
      </c>
      <c r="CQ90" s="173">
        <f t="shared" si="18"/>
        <v>2</v>
      </c>
      <c r="CR90" s="173">
        <f t="shared" si="18"/>
        <v>2</v>
      </c>
      <c r="CS90" s="173">
        <f t="shared" si="18"/>
        <v>2</v>
      </c>
      <c r="CT90" s="173">
        <f t="shared" si="18"/>
        <v>2</v>
      </c>
      <c r="CU90" s="173">
        <f t="shared" si="18"/>
        <v>2</v>
      </c>
      <c r="CV90" s="173">
        <f t="shared" si="18"/>
        <v>2</v>
      </c>
      <c r="CW90" s="173">
        <f t="shared" si="18"/>
        <v>2</v>
      </c>
      <c r="CX90" s="173">
        <f t="shared" si="18"/>
        <v>2</v>
      </c>
      <c r="CY90" s="173">
        <f t="shared" si="18"/>
        <v>2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2</v>
      </c>
      <c r="BH98" s="173">
        <f>IF(CdTrp1!N52=1,3,IF(CdTrp1!N52=0.5,2,IF(CdTrp1!N52=0,1,0)))</f>
        <v>2</v>
      </c>
      <c r="BI98" s="173">
        <f>IF(CdTrp1!O52=1,3,IF(CdTrp1!O52=0.5,2,IF(CdTrp1!O52=0,1,0)))</f>
        <v>2</v>
      </c>
      <c r="BJ98" s="173">
        <f>IF(CdTrp1!P52=1,3,IF(CdTrp1!P52=0.5,2,IF(CdTrp1!P52=0,1,0)))</f>
        <v>2</v>
      </c>
      <c r="BK98" s="173">
        <f>IF(CdTrp1!Q52=1,3,IF(CdTrp1!Q52=0.5,2,IF(CdTrp1!Q52=0,1,0)))</f>
        <v>2</v>
      </c>
      <c r="BL98" s="173">
        <f>IF(CdTrp1!R52=1,3,IF(CdTrp1!R52=0.5,2,IF(CdTrp1!R52=0,1,0)))</f>
        <v>2</v>
      </c>
      <c r="BM98" s="173">
        <f>IF(CdTrp1!S52=1,3,IF(CdTrp1!S52=0.5,2,IF(CdTrp1!S52=0,1,0)))</f>
        <v>2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2</v>
      </c>
      <c r="D99" s="173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3</v>
      </c>
      <c r="CH99" s="173">
        <f>IF(CdTrp2!H53=1,3,IF(CdTrp2!H53=0.5,2,IF(CdTrp2!H53=0,1,0)))</f>
        <v>3</v>
      </c>
      <c r="CI99" s="173">
        <f>IF(CdTrp2!I53=1,3,IF(CdTrp2!I53=0.5,2,IF(CdTrp2!I53=0,1,0)))</f>
        <v>3</v>
      </c>
      <c r="CJ99" s="173">
        <f>IF(CdTrp2!J53=1,3,IF(CdTrp2!J53=0.5,2,IF(CdTrp2!J53=0,1,0)))</f>
        <v>3</v>
      </c>
      <c r="CK99" s="173">
        <f>IF(CdTrp2!K53=1,3,IF(CdTrp2!K53=0.5,2,IF(CdTrp2!K53=0,1,0)))</f>
        <v>3</v>
      </c>
      <c r="CL99" s="173">
        <f>IF(CdTrp2!L53=1,3,IF(CdTrp2!L53=0.5,2,IF(CdTrp2!L53=0,1,0)))</f>
        <v>3</v>
      </c>
      <c r="CM99" s="173">
        <f>IF(CdTrp2!M53=1,3,IF(CdTrp2!M53=0.5,2,IF(CdTrp2!M53=0,1,0)))</f>
        <v>3</v>
      </c>
      <c r="CN99" s="173">
        <f>IF(CdTrp2!N53=1,3,IF(CdTrp2!N53=0.5,2,IF(CdTrp2!N53=0,1,0)))</f>
        <v>3</v>
      </c>
      <c r="CO99" s="173">
        <f>IF(CdTrp2!O53=1,3,IF(CdTrp2!O53=0.5,2,IF(CdTrp2!O53=0,1,0)))</f>
        <v>3</v>
      </c>
      <c r="CP99" s="173">
        <f>IF(CdTrp2!P53=1,3,IF(CdTrp2!P53=0.5,2,IF(CdTrp2!P53=0,1,0)))</f>
        <v>3</v>
      </c>
      <c r="CQ99" s="173">
        <f>IF(CdTrp2!Q53=1,3,IF(CdTrp2!Q53=0.5,2,IF(CdTrp2!Q53=0,1,0)))</f>
        <v>3</v>
      </c>
      <c r="CR99" s="173">
        <f>IF(CdTrp2!R53=1,3,IF(CdTrp2!R53=0.5,2,IF(CdTrp2!R53=0,1,0)))</f>
        <v>3</v>
      </c>
      <c r="CS99" s="173">
        <f>IF(CdTrp2!S53=1,3,IF(CdTrp2!S53=0.5,2,IF(CdTrp2!S53=0,1,0)))</f>
        <v>3</v>
      </c>
      <c r="CT99" s="173">
        <f>IF(CdTrp2!T53=1,3,IF(CdTrp2!T53=0.5,2,IF(CdTrp2!T53=0,1,0)))</f>
        <v>3</v>
      </c>
      <c r="CU99" s="173">
        <f>IF(CdTrp2!U53=1,3,IF(CdTrp2!U53=0.5,2,IF(CdTrp2!U53=0,1,0)))</f>
        <v>3</v>
      </c>
      <c r="CV99" s="173">
        <f>IF(CdTrp2!V53=1,3,IF(CdTrp2!V53=0.5,2,IF(CdTrp2!V53=0,1,0)))</f>
        <v>3</v>
      </c>
      <c r="CW99" s="173">
        <f>IF(CdTrp2!W53=1,3,IF(CdTrp2!W53=0.5,2,IF(CdTrp2!W53=0,1,0)))</f>
        <v>3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4</v>
      </c>
      <c r="D101" s="173">
        <f t="shared" si="25"/>
        <v>4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Broutards</v>
      </c>
      <c r="CA101" s="32"/>
      <c r="CB101" s="173">
        <f>IF(CdTrp2!B55=1,3,IF(CdTrp2!B55=0.5,2,IF(CdTrp2!B55=0,1,0)))</f>
        <v>3</v>
      </c>
      <c r="CC101" s="173">
        <f>IF(CdTrp2!C55=1,3,IF(CdTrp2!C55=0.5,2,IF(CdTrp2!C55=0,1,0)))</f>
        <v>3</v>
      </c>
      <c r="CD101" s="173">
        <f>IF(CdTrp2!D55=1,3,IF(CdTrp2!D55=0.5,2,IF(CdTrp2!D55=0,1,0)))</f>
        <v>3</v>
      </c>
      <c r="CE101" s="173">
        <f>IF(CdTrp2!E55=1,3,IF(CdTrp2!E55=0.5,2,IF(CdTrp2!E55=0,1,0)))</f>
        <v>3</v>
      </c>
      <c r="CF101" s="173">
        <f>IF(CdTrp2!F55=1,3,IF(CdTrp2!F55=0.5,2,IF(CdTrp2!F55=0,1,0)))</f>
        <v>3</v>
      </c>
      <c r="CG101" s="173">
        <f>IF(CdTrp2!G55=1,3,IF(CdTrp2!G55=0.5,2,IF(CdTrp2!G55=0,1,0)))</f>
        <v>3</v>
      </c>
      <c r="CH101" s="173">
        <f>IF(CdTrp2!H55=1,3,IF(CdTrp2!H55=0.5,2,IF(CdTrp2!H55=0,1,0)))</f>
        <v>3</v>
      </c>
      <c r="CI101" s="173">
        <f>IF(CdTrp2!I55=1,3,IF(CdTrp2!I55=0.5,2,IF(CdTrp2!I55=0,1,0)))</f>
        <v>3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3</v>
      </c>
      <c r="CU101" s="173">
        <f>IF(CdTrp2!U55=1,3,IF(CdTrp2!U55=0.5,2,IF(CdTrp2!U55=0,1,0)))</f>
        <v>3</v>
      </c>
      <c r="CV101" s="173">
        <f>IF(CdTrp2!V55=1,3,IF(CdTrp2!V55=0.5,2,IF(CdTrp2!V55=0,1,0)))</f>
        <v>3</v>
      </c>
      <c r="CW101" s="173">
        <f>IF(CdTrp2!W55=1,3,IF(CdTrp2!W55=0.5,2,IF(CdTrp2!W55=0,1,0)))</f>
        <v>3</v>
      </c>
      <c r="CX101" s="173">
        <f>IF(CdTrp2!X55=1,3,IF(CdTrp2!X55=0.5,2,IF(CdTrp2!X55=0,1,0)))</f>
        <v>3</v>
      </c>
      <c r="CY101" s="173">
        <f>IF(CdTrp2!Y55=1,3,IF(CdTrp2!Y55=0.5,2,IF(CdTrp2!Y55=0,1,0)))</f>
        <v>3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18</v>
      </c>
      <c r="D107" s="173">
        <f t="shared" si="25"/>
        <v>18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2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Broutards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38.5</v>
      </c>
      <c r="D109" s="173">
        <f t="shared" si="25"/>
        <v>38.5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1</v>
      </c>
      <c r="BH109" s="173">
        <v>2</v>
      </c>
      <c r="BI109" s="173">
        <f>IF(CdTrp1!O76=1,1,IF(CdTrp1!O76=2,2,IF(CdTrp1!O76=3,2,IF(CdTrp1!O76=4,4,0))))</f>
        <v>1</v>
      </c>
      <c r="BJ109" s="173">
        <f>IF(CdTrp1!P76=1,1,IF(CdTrp1!P76=2,2,IF(CdTrp1!P76=3,2,IF(CdTrp1!P76=4,4,0))))</f>
        <v>1</v>
      </c>
      <c r="BK109" s="173">
        <f>IF(CdTrp1!Q76=1,1,IF(CdTrp1!Q76=2,2,IF(CdTrp1!Q76=3,2,IF(CdTrp1!Q76=4,4,0))))</f>
        <v>1</v>
      </c>
      <c r="BL109" s="173">
        <f>IF(CdTrp1!R76=1,1,IF(CdTrp1!R76=2,2,IF(CdTrp1!R76=3,2,IF(CdTrp1!R76=4,4,0))))</f>
        <v>1</v>
      </c>
      <c r="BM109" s="173">
        <f>IF(CdTrp1!S76=1,1,IF(CdTrp1!S76=2,2,IF(CdTrp1!S76=3,2,IF(CdTrp1!S76=4,4,0))))</f>
        <v>1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1</v>
      </c>
      <c r="CM109" s="173">
        <f>IF(CdTrp2!M76=1,1,IF(CdTrp2!M76=2,2,IF(CdTrp2!M76=3,2,IF(CdTrp2!M76=4,4,0))))</f>
        <v>1</v>
      </c>
      <c r="CN109" s="173">
        <f>IF(CdTrp2!N76=1,1,IF(CdTrp2!N76=2,2,IF(CdTrp2!N76=3,2,IF(CdTrp2!N76=4,4,0))))</f>
        <v>1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1</v>
      </c>
      <c r="CS109" s="173">
        <f>IF(CdTrp2!S76=1,1,IF(CdTrp2!S76=2,2,IF(CdTrp2!S76=3,2,IF(CdTrp2!S76=4,4,0))))</f>
        <v>1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20.5</v>
      </c>
      <c r="D110" s="173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1</v>
      </c>
      <c r="BA110" s="173">
        <f>IF(CdTrp1!G77=1,1,IF(CdTrp1!G77=2,2,IF(CdTrp1!G77=3,2,IF(CdTrp1!G77=4,4,0))))</f>
        <v>1</v>
      </c>
      <c r="BB110" s="173">
        <f>IF(CdTrp1!H77=1,1,IF(CdTrp1!H77=2,2,IF(CdTrp1!H77=3,2,IF(CdTrp1!H77=4,4,0))))</f>
        <v>1</v>
      </c>
      <c r="BC110" s="173">
        <f>IF(CdTrp1!I77=1,1,IF(CdTrp1!I77=2,2,IF(CdTrp1!I77=3,2,IF(CdTrp1!I77=4,4,0))))</f>
        <v>1</v>
      </c>
      <c r="BD110" s="173">
        <f>IF(CdTrp1!J77=1,1,IF(CdTrp1!J77=2,2,IF(CdTrp1!J77=3,2,IF(CdTrp1!J77=4,4,0))))</f>
        <v>1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1</v>
      </c>
      <c r="BP110" s="173">
        <f>IF(CdTrp1!V77=1,1,IF(CdTrp1!V77=2,2,IF(CdTrp1!V77=3,2,IF(CdTrp1!V77=4,4,0))))</f>
        <v>1</v>
      </c>
      <c r="BQ110" s="173">
        <f>IF(CdTrp1!W77=1,1,IF(CdTrp1!W77=2,2,IF(CdTrp1!W77=3,2,IF(CdTrp1!W77=4,4,0))))</f>
        <v>1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0</v>
      </c>
      <c r="CH110" s="173">
        <f>IF(CdTrp2!H77=1,1,IF(CdTrp2!H77=2,2,IF(CdTrp2!H77=3,2,IF(CdTrp2!H77=4,4,0))))</f>
        <v>0</v>
      </c>
      <c r="CI110" s="173">
        <f>IF(CdTrp2!I77=1,1,IF(CdTrp2!I77=2,2,IF(CdTrp2!I77=3,2,IF(CdTrp2!I77=4,4,0))))</f>
        <v>0</v>
      </c>
      <c r="CJ110" s="173">
        <f>IF(CdTrp2!J77=1,1,IF(CdTrp2!J77=2,2,IF(CdTrp2!J77=3,2,IF(CdTrp2!J77=4,4,0))))</f>
        <v>0</v>
      </c>
      <c r="CK110" s="173">
        <f>IF(CdTrp2!K77=1,1,IF(CdTrp2!K77=2,2,IF(CdTrp2!K77=3,2,IF(CdTrp2!K77=4,4,0))))</f>
        <v>0</v>
      </c>
      <c r="CL110" s="173">
        <f>IF(CdTrp2!L77=1,1,IF(CdTrp2!L77=2,2,IF(CdTrp2!L77=3,2,IF(CdTrp2!L77=4,4,0))))</f>
        <v>0</v>
      </c>
      <c r="CM110" s="173">
        <f>IF(CdTrp2!M77=1,1,IF(CdTrp2!M77=2,2,IF(CdTrp2!M77=3,2,IF(CdTrp2!M77=4,4,0))))</f>
        <v>0</v>
      </c>
      <c r="CN110" s="173">
        <f>IF(CdTrp2!N77=1,1,IF(CdTrp2!N77=2,2,IF(CdTrp2!N77=3,2,IF(CdTrp2!N77=4,4,0))))</f>
        <v>0</v>
      </c>
      <c r="CO110" s="173">
        <f>IF(CdTrp2!O77=1,1,IF(CdTrp2!O77=2,2,IF(CdTrp2!O77=3,2,IF(CdTrp2!O77=4,4,0))))</f>
        <v>0</v>
      </c>
      <c r="CP110" s="173">
        <f>IF(CdTrp2!P77=1,1,IF(CdTrp2!P77=2,2,IF(CdTrp2!P77=3,2,IF(CdTrp2!P77=4,4,0))))</f>
        <v>0</v>
      </c>
      <c r="CQ110" s="173">
        <f>IF(CdTrp2!Q77=1,1,IF(CdTrp2!Q77=2,2,IF(CdTrp2!Q77=3,2,IF(CdTrp2!Q77=4,4,0))))</f>
        <v>0</v>
      </c>
      <c r="CR110" s="173">
        <f>IF(CdTrp2!R77=1,1,IF(CdTrp2!R77=2,2,IF(CdTrp2!R77=3,2,IF(CdTrp2!R77=4,4,0))))</f>
        <v>0</v>
      </c>
      <c r="CS110" s="173">
        <f>IF(CdTrp2!S77=1,1,IF(CdTrp2!S77=2,2,IF(CdTrp2!S77=3,2,IF(CdTrp2!S77=4,4,0))))</f>
        <v>0</v>
      </c>
      <c r="CT110" s="173">
        <f>IF(CdTrp2!T77=1,1,IF(CdTrp2!T77=2,2,IF(CdTrp2!T77=3,2,IF(CdTrp2!T77=4,4,0))))</f>
        <v>0</v>
      </c>
      <c r="CU110" s="173">
        <f>IF(CdTrp2!U77=1,1,IF(CdTrp2!U77=2,2,IF(CdTrp2!U77=3,2,IF(CdTrp2!U77=4,4,0))))</f>
        <v>0</v>
      </c>
      <c r="CV110" s="173">
        <f>IF(CdTrp2!V77=1,1,IF(CdTrp2!V77=2,2,IF(CdTrp2!V77=3,2,IF(CdTrp2!V77=4,4,0))))</f>
        <v>0</v>
      </c>
      <c r="CW110" s="173">
        <f>IF(CdTrp2!W77=1,1,IF(CdTrp2!W77=2,2,IF(CdTrp2!W77=3,2,IF(CdTrp2!W77=4,4,0))))</f>
        <v>0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4.5</v>
      </c>
      <c r="D111" s="173">
        <f t="shared" si="25"/>
        <v>4.5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2</v>
      </c>
      <c r="CV111" s="173">
        <f>IF(CdTrp2!V78=1,1,IF(CdTrp2!V78=2,2,IF(CdTrp2!V78=3,2,IF(CdTrp2!V78=4,4,0))))</f>
        <v>2</v>
      </c>
      <c r="CW111" s="173">
        <f>IF(CdTrp2!W78=1,1,IF(CdTrp2!W78=2,2,IF(CdTrp2!W78=3,2,IF(CdTrp2!W78=4,4,0))))</f>
        <v>2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Broutards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13.5</v>
      </c>
      <c r="D114" s="173">
        <f t="shared" si="25"/>
        <v>13.5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221</v>
      </c>
      <c r="BH121" s="173">
        <f>IF(BH75=0,0,IF(BH98=3,0,VALUE(CONCATENATE(Travail!BH26,Travail!BH37,Travail!BH48))))</f>
        <v>221</v>
      </c>
      <c r="BI121" s="173">
        <f>IF(BI75=0,0,IF(BI98=3,0,VALUE(CONCATENATE(Travail!BI26,Travail!BI37,Travail!BI48))))</f>
        <v>221</v>
      </c>
      <c r="BJ121" s="173">
        <f>IF(BJ75=0,0,IF(BJ98=3,0,VALUE(CONCATENATE(Travail!BJ26,Travail!BJ37,Travail!BJ48))))</f>
        <v>221</v>
      </c>
      <c r="BK121" s="173">
        <f>IF(BK75=0,0,IF(BK98=3,0,VALUE(CONCATENATE(Travail!BK26,Travail!BK37,Travail!BK48))))</f>
        <v>221</v>
      </c>
      <c r="BL121" s="173">
        <f>IF(BL75=0,0,IF(BL98=3,0,VALUE(CONCATENATE(Travail!BL26,Travail!BL37,Travail!BL48))))</f>
        <v>221</v>
      </c>
      <c r="BM121" s="173">
        <f>IF(BM75=0,0,IF(BM98=3,0,VALUE(CONCATENATE(Travail!BM26,Travail!BM37,Travail!BM48))))</f>
        <v>221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211</v>
      </c>
      <c r="CM121" s="173">
        <f>IF(CM75=0,0,VALUE(CONCATENATE(Travail!CM26,Travail!CM37,Travail!CM48)))</f>
        <v>211</v>
      </c>
      <c r="CN121" s="173">
        <f>IF(CN75=0,0,VALUE(CONCATENATE(Travail!CN26,Travail!CN37,Travail!CN48)))</f>
        <v>211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211</v>
      </c>
      <c r="CS121" s="173">
        <f>IF(CS75=0,0,VALUE(CONCATENATE(Travail!CS26,Travail!CS37,Travail!CS48)))</f>
        <v>211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221</v>
      </c>
      <c r="BA122" s="173">
        <f>IF(BA76=0,0,IF(BA99=3,0,VALUE(CONCATENATE(Travail!BA27,Travail!BA38,Travail!BA49))))</f>
        <v>221</v>
      </c>
      <c r="BB122" s="173">
        <f>IF(BB76=0,0,IF(BB99=3,0,VALUE(CONCATENATE(Travail!BB27,Travail!BB38,Travail!BB49))))</f>
        <v>221</v>
      </c>
      <c r="BC122" s="173">
        <f>IF(BC76=0,0,IF(BC99=3,0,VALUE(CONCATENATE(Travail!BC27,Travail!BC38,Travail!BC49))))</f>
        <v>221</v>
      </c>
      <c r="BD122" s="173">
        <f>IF(BD76=0,0,IF(BD99=3,0,VALUE(CONCATENATE(Travail!BD27,Travail!BD38,Travail!BD49))))</f>
        <v>221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221</v>
      </c>
      <c r="BP122" s="173">
        <f>IF(BP76=0,0,IF(BP99=3,0,VALUE(CONCATENATE(Travail!BP27,Travail!BP38,Travail!BP49))))</f>
        <v>221</v>
      </c>
      <c r="BQ122" s="173">
        <f>IF(BQ76=0,0,IF(BQ99=3,0,VALUE(CONCATENATE(Travail!BQ27,Travail!BQ38,Travail!BQ49))))</f>
        <v>221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230</v>
      </c>
      <c r="CH122" s="173">
        <f>IF(CH76=0,0,VALUE(CONCATENATE(Travail!CH27,Travail!CH38,Travail!CH49)))</f>
        <v>230</v>
      </c>
      <c r="CI122" s="173">
        <f>IF(CI76=0,0,VALUE(CONCATENATE(Travail!CI27,Travail!CI38,Travail!CI49)))</f>
        <v>230</v>
      </c>
      <c r="CJ122" s="173">
        <f>IF(CJ76=0,0,VALUE(CONCATENATE(Travail!CJ27,Travail!CJ38,Travail!CJ49)))</f>
        <v>230</v>
      </c>
      <c r="CK122" s="173">
        <f>IF(CK76=0,0,VALUE(CONCATENATE(Travail!CK27,Travail!CK38,Travail!CK49)))</f>
        <v>230</v>
      </c>
      <c r="CL122" s="173">
        <f>IF(CL76=0,0,VALUE(CONCATENATE(Travail!CL27,Travail!CL38,Travail!CL49)))</f>
        <v>230</v>
      </c>
      <c r="CM122" s="173">
        <f>IF(CM76=0,0,VALUE(CONCATENATE(Travail!CM27,Travail!CM38,Travail!CM49)))</f>
        <v>230</v>
      </c>
      <c r="CN122" s="173">
        <f>IF(CN76=0,0,VALUE(CONCATENATE(Travail!CN27,Travail!CN38,Travail!CN49)))</f>
        <v>230</v>
      </c>
      <c r="CO122" s="173">
        <f>IF(CO76=0,0,VALUE(CONCATENATE(Travail!CO27,Travail!CO38,Travail!CO49)))</f>
        <v>230</v>
      </c>
      <c r="CP122" s="173">
        <f>IF(CP76=0,0,VALUE(CONCATENATE(Travail!CP27,Travail!CP38,Travail!CP49)))</f>
        <v>230</v>
      </c>
      <c r="CQ122" s="173">
        <f>IF(CQ76=0,0,VALUE(CONCATENATE(Travail!CQ27,Travail!CQ38,Travail!CQ49)))</f>
        <v>230</v>
      </c>
      <c r="CR122" s="173">
        <f>IF(CR76=0,0,VALUE(CONCATENATE(Travail!CR27,Travail!CR38,Travail!CR49)))</f>
        <v>230</v>
      </c>
      <c r="CS122" s="173">
        <f>IF(CS76=0,0,VALUE(CONCATENATE(Travail!CS27,Travail!CS38,Travail!CS49)))</f>
        <v>230</v>
      </c>
      <c r="CT122" s="173">
        <f>IF(CT76=0,0,VALUE(CONCATENATE(Travail!CT27,Travail!CT38,Travail!CT49)))</f>
        <v>230</v>
      </c>
      <c r="CU122" s="173">
        <f>IF(CU76=0,0,VALUE(CONCATENATE(Travail!CU27,Travail!CU38,Travail!CU49)))</f>
        <v>230</v>
      </c>
      <c r="CV122" s="173">
        <f>IF(CV76=0,0,VALUE(CONCATENATE(Travail!CV27,Travail!CV38,Travail!CV49)))</f>
        <v>230</v>
      </c>
      <c r="CW122" s="173">
        <f>IF(CW76=0,0,VALUE(CONCATENATE(Travail!CW27,Travail!CW38,Travail!CW49)))</f>
        <v>230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112</v>
      </c>
      <c r="CV123" s="173">
        <f>IF(CV77=0,0,VALUE(CONCATENATE(Travail!CV28,Travail!CV39,Travail!CV50)))</f>
        <v>112</v>
      </c>
      <c r="CW123" s="173">
        <f>IF(CW77=0,0,VALUE(CONCATENATE(Travail!CW28,Travail!CW39,Travail!CW50)))</f>
        <v>112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Broutards</v>
      </c>
      <c r="CB124" s="173">
        <f>IF(CB78=0,0,VALUE(CONCATENATE(Travail!CB29,Travail!CB40,Travail!CB51)))</f>
        <v>230</v>
      </c>
      <c r="CC124" s="173">
        <f>IF(CC78=0,0,VALUE(CONCATENATE(Travail!CC29,Travail!CC40,Travail!CC51)))</f>
        <v>230</v>
      </c>
      <c r="CD124" s="173">
        <f>IF(CD78=0,0,VALUE(CONCATENATE(Travail!CD29,Travail!CD40,Travail!CD51)))</f>
        <v>230</v>
      </c>
      <c r="CE124" s="173">
        <f>IF(CE78=0,0,VALUE(CONCATENATE(Travail!CE29,Travail!CE40,Travail!CE51)))</f>
        <v>230</v>
      </c>
      <c r="CF124" s="173">
        <f>IF(CF78=0,0,VALUE(CONCATENATE(Travail!CF29,Travail!CF40,Travail!CF51)))</f>
        <v>230</v>
      </c>
      <c r="CG124" s="173">
        <f>IF(CG78=0,0,VALUE(CONCATENATE(Travail!CG29,Travail!CG40,Travail!CG51)))</f>
        <v>230</v>
      </c>
      <c r="CH124" s="173">
        <f>IF(CH78=0,0,VALUE(CONCATENATE(Travail!CH29,Travail!CH40,Travail!CH51)))</f>
        <v>230</v>
      </c>
      <c r="CI124" s="173">
        <f>IF(CI78=0,0,VALUE(CONCATENATE(Travail!CI29,Travail!CI40,Travail!CI51)))</f>
        <v>230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230</v>
      </c>
      <c r="CU124" s="173">
        <f>IF(CU78=0,0,VALUE(CONCATENATE(Travail!CU29,Travail!CU40,Travail!CU51)))</f>
        <v>230</v>
      </c>
      <c r="CV124" s="173">
        <f>IF(CV78=0,0,VALUE(CONCATENATE(Travail!CV29,Travail!CV40,Travail!CV51)))</f>
        <v>230</v>
      </c>
      <c r="CW124" s="173">
        <f>IF(CW78=0,0,VALUE(CONCATENATE(Travail!CW29,Travail!CW40,Travail!CW51)))</f>
        <v>230</v>
      </c>
      <c r="CX124" s="173">
        <f>IF(CX78=0,0,VALUE(CONCATENATE(Travail!CX29,Travail!CX40,Travail!CX51)))</f>
        <v>230</v>
      </c>
      <c r="CY124" s="173">
        <f>IF(CY78=0,0,VALUE(CONCATENATE(Travail!CY29,Travail!CY40,Travail!CY51)))</f>
        <v>230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1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3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3</v>
      </c>
      <c r="AC132">
        <f t="shared" si="38"/>
        <v>3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22</v>
      </c>
      <c r="BH132" s="173">
        <f t="shared" si="39"/>
        <v>22</v>
      </c>
      <c r="BI132" s="173">
        <f t="shared" si="39"/>
        <v>22</v>
      </c>
      <c r="BJ132" s="173">
        <f t="shared" si="39"/>
        <v>22</v>
      </c>
      <c r="BK132" s="173">
        <f t="shared" si="39"/>
        <v>22</v>
      </c>
      <c r="BL132" s="173">
        <f t="shared" si="39"/>
        <v>22</v>
      </c>
      <c r="BM132" s="173">
        <f t="shared" si="39"/>
        <v>22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1</v>
      </c>
      <c r="D133" s="262">
        <f t="shared" si="25"/>
        <v>1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23</v>
      </c>
      <c r="CH133" s="173">
        <f t="shared" si="40"/>
        <v>23</v>
      </c>
      <c r="CI133" s="173">
        <f t="shared" si="40"/>
        <v>23</v>
      </c>
      <c r="CJ133" s="173">
        <f t="shared" si="40"/>
        <v>23</v>
      </c>
      <c r="CK133" s="173">
        <f t="shared" si="40"/>
        <v>23</v>
      </c>
      <c r="CL133" s="173">
        <f t="shared" si="40"/>
        <v>23</v>
      </c>
      <c r="CM133" s="173">
        <f t="shared" si="40"/>
        <v>23</v>
      </c>
      <c r="CN133" s="173">
        <f t="shared" si="40"/>
        <v>23</v>
      </c>
      <c r="CO133" s="173">
        <f t="shared" si="40"/>
        <v>23</v>
      </c>
      <c r="CP133" s="173">
        <f t="shared" si="40"/>
        <v>23</v>
      </c>
      <c r="CQ133" s="173">
        <f t="shared" si="40"/>
        <v>23</v>
      </c>
      <c r="CR133" s="173">
        <f t="shared" si="40"/>
        <v>23</v>
      </c>
      <c r="CS133" s="173">
        <f t="shared" si="40"/>
        <v>23</v>
      </c>
      <c r="CT133" s="173">
        <f t="shared" si="40"/>
        <v>23</v>
      </c>
      <c r="CU133" s="173">
        <f t="shared" si="40"/>
        <v>23</v>
      </c>
      <c r="CV133" s="173">
        <f t="shared" si="40"/>
        <v>23</v>
      </c>
      <c r="CW133" s="173">
        <f t="shared" si="40"/>
        <v>23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0.25</v>
      </c>
      <c r="D134" s="262">
        <f t="shared" si="25"/>
        <v>0.25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Broutards</v>
      </c>
      <c r="CB135" s="173">
        <f t="shared" si="40"/>
        <v>23</v>
      </c>
      <c r="CC135" s="173">
        <f t="shared" si="40"/>
        <v>23</v>
      </c>
      <c r="CD135" s="173">
        <f t="shared" si="40"/>
        <v>23</v>
      </c>
      <c r="CE135" s="173">
        <f t="shared" si="40"/>
        <v>23</v>
      </c>
      <c r="CF135" s="173">
        <f t="shared" si="40"/>
        <v>23</v>
      </c>
      <c r="CG135" s="173">
        <f t="shared" si="40"/>
        <v>23</v>
      </c>
      <c r="CH135" s="173">
        <f t="shared" si="40"/>
        <v>23</v>
      </c>
      <c r="CI135" s="173">
        <f t="shared" si="40"/>
        <v>23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23</v>
      </c>
      <c r="CU135" s="173">
        <f t="shared" si="40"/>
        <v>23</v>
      </c>
      <c r="CV135" s="173">
        <f t="shared" si="40"/>
        <v>23</v>
      </c>
      <c r="CW135" s="173">
        <f t="shared" si="40"/>
        <v>23</v>
      </c>
      <c r="CX135" s="173">
        <f t="shared" si="40"/>
        <v>23</v>
      </c>
      <c r="CY135" s="173">
        <f t="shared" si="40"/>
        <v>23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0.64935064935064934</v>
      </c>
      <c r="D136" s="262">
        <f t="shared" si="25"/>
        <v>0.64935064935064934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2</v>
      </c>
      <c r="CC142" s="173">
        <f>COUNTIF(CC$132:CC$141,23)</f>
        <v>2</v>
      </c>
      <c r="CD142" s="173">
        <f t="shared" ref="CD142:CY142" si="59">COUNTIF(CD$132:CD$141,23)</f>
        <v>2</v>
      </c>
      <c r="CE142" s="173">
        <f t="shared" si="59"/>
        <v>2</v>
      </c>
      <c r="CF142" s="173">
        <f t="shared" si="59"/>
        <v>2</v>
      </c>
      <c r="CG142" s="173">
        <f t="shared" si="59"/>
        <v>3</v>
      </c>
      <c r="CH142" s="173">
        <f t="shared" si="59"/>
        <v>2</v>
      </c>
      <c r="CI142" s="173">
        <f t="shared" si="59"/>
        <v>2</v>
      </c>
      <c r="CJ142" s="173">
        <f t="shared" si="59"/>
        <v>1</v>
      </c>
      <c r="CK142" s="173">
        <f t="shared" si="59"/>
        <v>1</v>
      </c>
      <c r="CL142" s="173">
        <f t="shared" si="59"/>
        <v>1</v>
      </c>
      <c r="CM142" s="173">
        <f t="shared" si="59"/>
        <v>1</v>
      </c>
      <c r="CN142" s="173">
        <f t="shared" si="59"/>
        <v>1</v>
      </c>
      <c r="CO142" s="173">
        <f t="shared" si="59"/>
        <v>1</v>
      </c>
      <c r="CP142" s="173">
        <f t="shared" si="59"/>
        <v>1</v>
      </c>
      <c r="CQ142" s="173">
        <f t="shared" si="59"/>
        <v>1</v>
      </c>
      <c r="CR142" s="173">
        <f t="shared" si="59"/>
        <v>1</v>
      </c>
      <c r="CS142" s="173">
        <f t="shared" si="59"/>
        <v>1</v>
      </c>
      <c r="CT142" s="173">
        <f t="shared" si="59"/>
        <v>2</v>
      </c>
      <c r="CU142" s="173">
        <f t="shared" si="59"/>
        <v>2</v>
      </c>
      <c r="CV142" s="173">
        <f t="shared" si="59"/>
        <v>2</v>
      </c>
      <c r="CW142" s="173">
        <f t="shared" si="59"/>
        <v>2</v>
      </c>
      <c r="CX142" s="173">
        <f t="shared" si="59"/>
        <v>2</v>
      </c>
      <c r="CY142" s="173">
        <f t="shared" si="59"/>
        <v>2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2</v>
      </c>
      <c r="BH144" s="173">
        <f t="shared" si="64"/>
        <v>2</v>
      </c>
      <c r="BI144" s="173">
        <f t="shared" si="64"/>
        <v>2</v>
      </c>
      <c r="BJ144" s="173">
        <f t="shared" si="64"/>
        <v>2</v>
      </c>
      <c r="BK144" s="173">
        <f t="shared" si="64"/>
        <v>2</v>
      </c>
      <c r="BL144" s="173">
        <f t="shared" si="64"/>
        <v>2</v>
      </c>
      <c r="BM144" s="173">
        <f t="shared" si="64"/>
        <v>2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1</v>
      </c>
      <c r="CW144" s="173">
        <f t="shared" si="65"/>
        <v>1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23</v>
      </c>
      <c r="CI146" s="62">
        <f t="shared" si="71"/>
        <v>23</v>
      </c>
      <c r="CJ146" s="62">
        <f t="shared" si="71"/>
        <v>23</v>
      </c>
      <c r="CK146" s="62">
        <f t="shared" si="71"/>
        <v>23</v>
      </c>
      <c r="CL146" s="62">
        <f t="shared" si="71"/>
        <v>23</v>
      </c>
      <c r="CM146" s="62">
        <f t="shared" si="71"/>
        <v>23</v>
      </c>
      <c r="CN146" s="62">
        <f t="shared" si="71"/>
        <v>23</v>
      </c>
      <c r="CO146" s="62">
        <f t="shared" si="71"/>
        <v>23</v>
      </c>
      <c r="CP146" s="62">
        <f t="shared" si="71"/>
        <v>23</v>
      </c>
      <c r="CQ146" s="62">
        <f t="shared" si="71"/>
        <v>23</v>
      </c>
      <c r="CR146" s="62">
        <f t="shared" si="71"/>
        <v>23</v>
      </c>
      <c r="CS146" s="62">
        <f t="shared" si="71"/>
        <v>23</v>
      </c>
      <c r="CT146" s="62">
        <f t="shared" si="71"/>
        <v>23</v>
      </c>
      <c r="CU146" s="62">
        <f t="shared" si="71"/>
        <v>23</v>
      </c>
      <c r="CV146" s="62">
        <f t="shared" si="71"/>
        <v>23</v>
      </c>
      <c r="CW146" s="62">
        <f t="shared" si="71"/>
        <v>23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42</v>
      </c>
      <c r="CI147" s="190">
        <f>IF(CI146=0,0,HLOOKUP(CI146,[1]Trav!$C$39:$G$59,$AU$166))</f>
        <v>42</v>
      </c>
      <c r="CJ147" s="190">
        <f>IF(CJ146=0,0,HLOOKUP(CJ146,[1]Trav!$C$39:$G$59,$AU$166))</f>
        <v>42</v>
      </c>
      <c r="CK147" s="190">
        <f>IF(CK146=0,0,HLOOKUP(CK146,[1]Trav!$C$39:$G$59,$AU$166))</f>
        <v>42</v>
      </c>
      <c r="CL147" s="190">
        <f>IF(CL146=0,0,HLOOKUP(CL146,[1]Trav!$C$39:$G$59,$AU$166))</f>
        <v>42</v>
      </c>
      <c r="CM147" s="190">
        <f>IF(CM146=0,0,HLOOKUP(CM146,[1]Trav!$C$39:$G$59,$AU$166))</f>
        <v>42</v>
      </c>
      <c r="CN147" s="190">
        <f>IF(CN146=0,0,HLOOKUP(CN146,[1]Trav!$C$39:$G$59,$AU$166))</f>
        <v>42</v>
      </c>
      <c r="CO147" s="190">
        <f>IF(CO146=0,0,HLOOKUP(CO146,[1]Trav!$C$39:$G$59,$AU$166))</f>
        <v>42</v>
      </c>
      <c r="CP147" s="190">
        <f>IF(CP146=0,0,HLOOKUP(CP146,[1]Trav!$C$39:$G$59,$AU$166))</f>
        <v>42</v>
      </c>
      <c r="CQ147" s="190">
        <f>IF(CQ146=0,0,HLOOKUP(CQ146,[1]Trav!$C$39:$G$59,$AU$166))</f>
        <v>42</v>
      </c>
      <c r="CR147" s="190">
        <f>IF(CR146=0,0,HLOOKUP(CR146,[1]Trav!$C$39:$G$59,$AU$166))</f>
        <v>42</v>
      </c>
      <c r="CS147" s="190">
        <f>IF(CS146=0,0,HLOOKUP(CS146,[1]Trav!$C$39:$G$59,$AU$166))</f>
        <v>42</v>
      </c>
      <c r="CT147" s="190">
        <f>IF(CT146=0,0,HLOOKUP(CT146,[1]Trav!$C$39:$G$59,$AU$166))</f>
        <v>42</v>
      </c>
      <c r="CU147" s="190">
        <f>IF(CU146=0,0,HLOOKUP(CU146,[1]Trav!$C$39:$G$59,$AU$166))</f>
        <v>42</v>
      </c>
      <c r="CV147" s="190">
        <f>IF(CV146=0,0,HLOOKUP(CV146,[1]Trav!$C$39:$G$59,$AU$166))</f>
        <v>42</v>
      </c>
      <c r="CW147" s="190">
        <f>IF(CW146=0,0,HLOOKUP(CW146,[1]Trav!$C$39:$G$59,$AU$166))</f>
        <v>42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1.75</v>
      </c>
      <c r="CM148" s="190">
        <f>IF(CM146=0,0,HLOOKUP(CM146,[1]Trav!$C$62:$G$82,$AU$166))</f>
        <v>1.75</v>
      </c>
      <c r="CN148" s="190">
        <f>IF(CN146=0,0,HLOOKUP(CN146,[1]Trav!$C$62:$G$82,$AU$166))</f>
        <v>1.75</v>
      </c>
      <c r="CO148" s="190">
        <f>IF(CO146=0,0,HLOOKUP(CO146,[1]Trav!$C$62:$G$82,$AU$166))</f>
        <v>1.75</v>
      </c>
      <c r="CP148" s="190">
        <f>IF(CP146=0,0,HLOOKUP(CP146,[1]Trav!$C$62:$G$82,$AU$166))</f>
        <v>1.75</v>
      </c>
      <c r="CQ148" s="190">
        <f>IF(CQ146=0,0,HLOOKUP(CQ146,[1]Trav!$C$62:$G$82,$AU$166))</f>
        <v>1.75</v>
      </c>
      <c r="CR148" s="190">
        <f>IF(CR146=0,0,HLOOKUP(CR146,[1]Trav!$C$62:$G$82,$AU$166))</f>
        <v>1.75</v>
      </c>
      <c r="CS148" s="190">
        <f>IF(CS146=0,0,HLOOKUP(CS146,[1]Trav!$C$62:$G$82,$AU$166))</f>
        <v>1.75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284.07458770614693</v>
      </c>
      <c r="BH151" s="173">
        <f t="shared" si="74"/>
        <v>284.07458770614693</v>
      </c>
      <c r="BI151" s="173">
        <f t="shared" si="74"/>
        <v>284.07458770614693</v>
      </c>
      <c r="BJ151" s="173">
        <f t="shared" si="74"/>
        <v>284.07458770614693</v>
      </c>
      <c r="BK151" s="173">
        <f t="shared" si="74"/>
        <v>284.07458770614693</v>
      </c>
      <c r="BL151" s="173">
        <f t="shared" si="74"/>
        <v>284.07458770614693</v>
      </c>
      <c r="BM151" s="173">
        <f t="shared" si="74"/>
        <v>284.07458770614693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1.5931034482758619</v>
      </c>
      <c r="CH152" s="173">
        <f t="shared" si="76"/>
        <v>3.1862068965517238</v>
      </c>
      <c r="CI152" s="173">
        <f t="shared" si="76"/>
        <v>4.7793103448275867</v>
      </c>
      <c r="CJ152" s="173">
        <f t="shared" si="76"/>
        <v>4.7793103448275867</v>
      </c>
      <c r="CK152" s="173">
        <f t="shared" si="76"/>
        <v>4.7793103448275867</v>
      </c>
      <c r="CL152" s="173">
        <f t="shared" si="76"/>
        <v>4.7793103448275867</v>
      </c>
      <c r="CM152" s="173">
        <f t="shared" si="76"/>
        <v>4.7793103448275867</v>
      </c>
      <c r="CN152" s="173">
        <f t="shared" si="76"/>
        <v>4.7793103448275867</v>
      </c>
      <c r="CO152" s="173">
        <f t="shared" si="76"/>
        <v>4.7793103448275867</v>
      </c>
      <c r="CP152" s="173">
        <f t="shared" si="76"/>
        <v>4.7793103448275867</v>
      </c>
      <c r="CQ152" s="173">
        <f t="shared" si="76"/>
        <v>4.7793103448275867</v>
      </c>
      <c r="CR152" s="173">
        <f t="shared" si="76"/>
        <v>4.7793103448275867</v>
      </c>
      <c r="CS152" s="173">
        <f t="shared" si="76"/>
        <v>4.7793103448275867</v>
      </c>
      <c r="CT152" s="173">
        <f t="shared" si="76"/>
        <v>3.9827586206896552</v>
      </c>
      <c r="CU152" s="173">
        <f t="shared" si="76"/>
        <v>3.9827586206896552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Broutards</v>
      </c>
      <c r="CB154" s="173">
        <f t="shared" si="76"/>
        <v>14.698275862068966</v>
      </c>
      <c r="CC154" s="173">
        <f t="shared" si="76"/>
        <v>14.698275862068966</v>
      </c>
      <c r="CD154" s="173">
        <f t="shared" si="76"/>
        <v>14.698275862068966</v>
      </c>
      <c r="CE154" s="173">
        <f t="shared" si="76"/>
        <v>14.698275862068966</v>
      </c>
      <c r="CF154" s="173">
        <f t="shared" si="76"/>
        <v>14.698275862068966</v>
      </c>
      <c r="CG154" s="173">
        <f t="shared" si="76"/>
        <v>11.379310344827587</v>
      </c>
      <c r="CH154" s="173">
        <f t="shared" si="76"/>
        <v>7.5862068965517242</v>
      </c>
      <c r="CI154" s="173">
        <f t="shared" si="76"/>
        <v>3.7931034482758621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3.2241379310344827</v>
      </c>
      <c r="CU154" s="173">
        <f t="shared" si="76"/>
        <v>6.6379310344827589</v>
      </c>
      <c r="CV154" s="173">
        <f t="shared" si="76"/>
        <v>9.4827586206896548</v>
      </c>
      <c r="CW154" s="173">
        <f t="shared" si="76"/>
        <v>11.853448275862069</v>
      </c>
      <c r="CX154" s="173">
        <f t="shared" si="76"/>
        <v>14.224137931034482</v>
      </c>
      <c r="CY154" s="173">
        <f t="shared" si="76"/>
        <v>16.120689655172413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360.61281859070465</v>
      </c>
      <c r="BH160" s="62">
        <f t="shared" si="83"/>
        <v>360.61281859070465</v>
      </c>
      <c r="BI160" s="62">
        <f t="shared" si="83"/>
        <v>360.61281859070465</v>
      </c>
      <c r="BJ160" s="62">
        <f t="shared" si="83"/>
        <v>360.61281859070465</v>
      </c>
      <c r="BK160" s="62">
        <f t="shared" si="83"/>
        <v>360.61281859070465</v>
      </c>
      <c r="BL160" s="62">
        <f t="shared" si="83"/>
        <v>360.61281859070465</v>
      </c>
      <c r="BM160" s="62">
        <f t="shared" si="83"/>
        <v>360.61281859070465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104.69724347478264</v>
      </c>
      <c r="D161" s="263">
        <f t="shared" si="50"/>
        <v>99.28186881229388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7.2122563718140933</v>
      </c>
      <c r="BH161" s="173">
        <f t="shared" si="86"/>
        <v>7.2122563718140933</v>
      </c>
      <c r="BI161" s="173">
        <f t="shared" si="86"/>
        <v>7.2122563718140933</v>
      </c>
      <c r="BJ161" s="173">
        <f t="shared" si="86"/>
        <v>7.2122563718140933</v>
      </c>
      <c r="BK161" s="173">
        <f t="shared" si="86"/>
        <v>7.2122563718140933</v>
      </c>
      <c r="BL161" s="173">
        <f t="shared" si="86"/>
        <v>7.2122563718140933</v>
      </c>
      <c r="BM161" s="173">
        <f t="shared" si="86"/>
        <v>7.2122563718140933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149.25887342921743</v>
      </c>
      <c r="D162" s="263">
        <f t="shared" si="50"/>
        <v>141.53858687253376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6.2122563718140933</v>
      </c>
      <c r="BH162" s="173">
        <f t="shared" si="89"/>
        <v>6.2122563718140933</v>
      </c>
      <c r="BI162" s="173">
        <f t="shared" si="89"/>
        <v>6.2122563718140933</v>
      </c>
      <c r="BJ162" s="173">
        <f t="shared" si="89"/>
        <v>6.2122563718140933</v>
      </c>
      <c r="BK162" s="173">
        <f t="shared" si="89"/>
        <v>6.2122563718140933</v>
      </c>
      <c r="BL162" s="173">
        <f t="shared" si="89"/>
        <v>6.2122563718140933</v>
      </c>
      <c r="BM162" s="173">
        <f t="shared" si="89"/>
        <v>6.2122563718140933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54.159351574212891</v>
      </c>
      <c r="BB163" s="62">
        <f t="shared" si="92"/>
        <v>54.107835457271364</v>
      </c>
      <c r="BC163" s="62">
        <f t="shared" si="92"/>
        <v>54.056319340329836</v>
      </c>
      <c r="BD163" s="62">
        <f t="shared" si="92"/>
        <v>53.95328710644678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31.871448650674665</v>
      </c>
      <c r="BH163" s="62">
        <f t="shared" si="92"/>
        <v>31.871448650674665</v>
      </c>
      <c r="BI163" s="62">
        <f t="shared" si="92"/>
        <v>31.871448650674665</v>
      </c>
      <c r="BJ163" s="62">
        <f t="shared" si="92"/>
        <v>31.871448650674665</v>
      </c>
      <c r="BK163" s="62">
        <f t="shared" si="92"/>
        <v>31.871448650674665</v>
      </c>
      <c r="BL163" s="62">
        <f t="shared" si="92"/>
        <v>31.871448650674665</v>
      </c>
      <c r="BM163" s="62">
        <f t="shared" si="92"/>
        <v>31.871448650674665</v>
      </c>
      <c r="BN163" s="62">
        <f t="shared" si="92"/>
        <v>31.871448650674665</v>
      </c>
      <c r="BO163" s="62">
        <f t="shared" si="92"/>
        <v>52.4078035982009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42</v>
      </c>
      <c r="CI163" s="62">
        <f t="shared" si="93"/>
        <v>42</v>
      </c>
      <c r="CJ163" s="62">
        <f t="shared" si="93"/>
        <v>42</v>
      </c>
      <c r="CK163" s="62">
        <f t="shared" si="93"/>
        <v>42</v>
      </c>
      <c r="CL163" s="62">
        <f t="shared" si="93"/>
        <v>42</v>
      </c>
      <c r="CM163" s="62">
        <f t="shared" si="93"/>
        <v>42</v>
      </c>
      <c r="CN163" s="62">
        <f t="shared" si="93"/>
        <v>42</v>
      </c>
      <c r="CO163" s="62">
        <f t="shared" si="93"/>
        <v>42</v>
      </c>
      <c r="CP163" s="62">
        <f t="shared" si="93"/>
        <v>42</v>
      </c>
      <c r="CQ163" s="62">
        <f t="shared" si="93"/>
        <v>42</v>
      </c>
      <c r="CR163" s="62">
        <f t="shared" si="93"/>
        <v>42</v>
      </c>
      <c r="CS163" s="62">
        <f t="shared" si="93"/>
        <v>42</v>
      </c>
      <c r="CT163" s="62">
        <f t="shared" si="93"/>
        <v>42</v>
      </c>
      <c r="CU163" s="62">
        <f t="shared" si="93"/>
        <v>42</v>
      </c>
      <c r="CV163" s="62">
        <f t="shared" si="93"/>
        <v>42</v>
      </c>
      <c r="CW163" s="62">
        <f t="shared" si="93"/>
        <v>42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60.530179500000031</v>
      </c>
      <c r="D165" s="263">
        <f t="shared" si="50"/>
        <v>57.399308146551746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45.753748419750004</v>
      </c>
      <c r="D166" s="263">
        <f t="shared" si="50"/>
        <v>43.387175225625001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14</v>
      </c>
      <c r="BH167" s="190">
        <f>IF(BH121&gt;0,HLOOKUP(BH121,[1]Trav!$C$11:$O$31,$AU$166),0)</f>
        <v>14</v>
      </c>
      <c r="BI167" s="190">
        <f>IF(BI121&gt;0,HLOOKUP(BI121,[1]Trav!$C$11:$O$31,$AU$166),0)</f>
        <v>14</v>
      </c>
      <c r="BJ167" s="190">
        <f>IF(BJ121&gt;0,HLOOKUP(BJ121,[1]Trav!$C$11:$O$31,$AU$166),0)</f>
        <v>14</v>
      </c>
      <c r="BK167" s="190">
        <f>IF(BK121&gt;0,HLOOKUP(BK121,[1]Trav!$C$11:$O$31,$AU$166),0)</f>
        <v>14</v>
      </c>
      <c r="BL167" s="190">
        <f>IF(BL121&gt;0,HLOOKUP(BL121,[1]Trav!$C$11:$O$31,$AU$166),0)</f>
        <v>14</v>
      </c>
      <c r="BM167" s="190">
        <f>IF(BM121&gt;0,HLOOKUP(BM121,[1]Trav!$C$11:$O$31,$AU$166),0)</f>
        <v>14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21</v>
      </c>
      <c r="CS167" s="190">
        <f>IF(CS121&gt;0,HLOOKUP(CS121,[1]Trav!$C$11:$O$31,$AU$166),0)</f>
        <v>21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14</v>
      </c>
      <c r="BA168" s="190">
        <f>IF(BA122&gt;0,HLOOKUP(BA122,[1]Trav!$C$11:$O$31,$AU$166),0)</f>
        <v>14</v>
      </c>
      <c r="BB168" s="190">
        <f>IF(BB122&gt;0,HLOOKUP(BB122,[1]Trav!$C$11:$O$31,$AU$166),0)</f>
        <v>14</v>
      </c>
      <c r="BC168" s="190">
        <f>IF(BC122&gt;0,HLOOKUP(BC122,[1]Trav!$C$11:$O$31,$AU$166),0)</f>
        <v>14</v>
      </c>
      <c r="BD168" s="190">
        <f>IF(BD122&gt;0,HLOOKUP(BD122,[1]Trav!$C$11:$O$31,$AU$166),0)</f>
        <v>14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14</v>
      </c>
      <c r="BP168" s="190">
        <f>IF(BP122&gt;0,HLOOKUP(BP122,[1]Trav!$C$11:$O$31,$AU$166),0)</f>
        <v>14</v>
      </c>
      <c r="BQ168" s="190">
        <f>IF(BQ122&gt;0,HLOOKUP(BQ122,[1]Trav!$C$11:$O$31,$AU$166),0)</f>
        <v>14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21</v>
      </c>
      <c r="CW168" s="190">
        <f>IF(CW122&gt;0,HLOOKUP(CW122,[1]Trav!$C$11:$O$31,$AU$166),0)</f>
        <v>21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175.34620000000001</v>
      </c>
      <c r="D169" s="263">
        <f t="shared" si="50"/>
        <v>166.27656896551724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7</v>
      </c>
      <c r="CV169" s="190">
        <f>IF(CV123&gt;0,HLOOKUP(CV123,[1]Trav!$C$11:$O$31,$AU$166),0)</f>
        <v>7</v>
      </c>
      <c r="CW169" s="190">
        <f>IF(CW123&gt;0,HLOOKUP(CW123,[1]Trav!$C$11:$O$31,$AU$166),0)</f>
        <v>7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165.22742297478263</v>
      </c>
      <c r="D170" s="263">
        <f t="shared" si="50"/>
        <v>156.68117695884558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Broutards</v>
      </c>
      <c r="CB170" s="190">
        <f>IF(CB124&gt;0,HLOOKUP(CB124,[1]Trav!$C$11:$O$31,$AU$166),0)</f>
        <v>21</v>
      </c>
      <c r="CC170" s="190">
        <f>IF(CC124&gt;0,HLOOKUP(CC124,[1]Trav!$C$11:$O$31,$AU$166),0)</f>
        <v>21</v>
      </c>
      <c r="CD170" s="190">
        <f>IF(CD124&gt;0,HLOOKUP(CD124,[1]Trav!$C$11:$O$31,$AU$166),0)</f>
        <v>21</v>
      </c>
      <c r="CE170" s="190">
        <f>IF(CE124&gt;0,HLOOKUP(CE124,[1]Trav!$C$11:$O$31,$AU$166),0)</f>
        <v>21</v>
      </c>
      <c r="CF170" s="190">
        <f>IF(CF124&gt;0,HLOOKUP(CF124,[1]Trav!$C$11:$O$31,$AU$166),0)</f>
        <v>21</v>
      </c>
      <c r="CG170" s="190">
        <f>IF(CG124&gt;0,HLOOKUP(CG124,[1]Trav!$C$11:$O$31,$AU$166),0)</f>
        <v>21</v>
      </c>
      <c r="CH170" s="190">
        <f>IF(CH124&gt;0,HLOOKUP(CH124,[1]Trav!$C$11:$O$31,$AU$166),0)</f>
        <v>21</v>
      </c>
      <c r="CI170" s="190">
        <f>IF(CI124&gt;0,HLOOKUP(CI124,[1]Trav!$C$11:$O$31,$AU$166),0)</f>
        <v>21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21</v>
      </c>
      <c r="CU170" s="190">
        <f>IF(CU124&gt;0,HLOOKUP(CU124,[1]Trav!$C$11:$O$31,$AU$166),0)</f>
        <v>21</v>
      </c>
      <c r="CV170" s="190">
        <f>IF(CV124&gt;0,HLOOKUP(CV124,[1]Trav!$C$11:$O$31,$AU$166),0)</f>
        <v>21</v>
      </c>
      <c r="CW170" s="190">
        <f>IF(CW124&gt;0,HLOOKUP(CW124,[1]Trav!$C$11:$O$31,$AU$166),0)</f>
        <v>21</v>
      </c>
      <c r="CX170" s="190">
        <f>IF(CX124&gt;0,HLOOKUP(CX124,[1]Trav!$C$11:$O$31,$AU$166),0)</f>
        <v>21</v>
      </c>
      <c r="CY170" s="190">
        <f>IF(CY124&gt;0,HLOOKUP(CY124,[1]Trav!$C$11:$O$31,$AU$166),0)</f>
        <v>21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76.254159999999999</v>
      </c>
      <c r="D171" s="263">
        <f t="shared" si="50"/>
        <v>72.309979310344829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181.79999999999998</v>
      </c>
      <c r="D172" s="263">
        <f t="shared" si="50"/>
        <v>172.39655172413791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10.118777025217383</v>
      </c>
      <c r="D173" s="263">
        <f t="shared" si="50"/>
        <v>9.5953920066716556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94.2</v>
      </c>
      <c r="D174" s="263">
        <f t="shared" si="50"/>
        <v>89.327586206896555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-105.54583999999998</v>
      </c>
      <c r="D175" s="263">
        <f>C175*$D$82/$C$82</f>
        <v>-100.08657241379308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105.54583999999998</v>
      </c>
      <c r="D176" s="263">
        <f>C176*$D$82/$C$82</f>
        <v>100.08657241379308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70</v>
      </c>
      <c r="D178" s="173">
        <f>ROUND((D170+D171)/(D170+D172),2)*100</f>
        <v>70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28</v>
      </c>
      <c r="BB178" s="173">
        <f t="shared" si="98"/>
        <v>28</v>
      </c>
      <c r="BC178" s="173">
        <f t="shared" si="98"/>
        <v>28</v>
      </c>
      <c r="BD178" s="173">
        <f t="shared" si="98"/>
        <v>28</v>
      </c>
      <c r="BE178" s="173">
        <f t="shared" si="98"/>
        <v>28</v>
      </c>
      <c r="BF178" s="173">
        <f t="shared" si="98"/>
        <v>28</v>
      </c>
      <c r="BG178" s="173">
        <f t="shared" si="98"/>
        <v>28</v>
      </c>
      <c r="BH178" s="173">
        <f t="shared" si="98"/>
        <v>28</v>
      </c>
      <c r="BI178" s="173">
        <f t="shared" si="98"/>
        <v>28</v>
      </c>
      <c r="BJ178" s="173">
        <f t="shared" si="98"/>
        <v>28</v>
      </c>
      <c r="BK178" s="173">
        <f t="shared" si="98"/>
        <v>28</v>
      </c>
      <c r="BL178" s="173">
        <f t="shared" si="98"/>
        <v>28</v>
      </c>
      <c r="BM178" s="173">
        <f t="shared" si="98"/>
        <v>28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42</v>
      </c>
      <c r="CC178" s="173">
        <f t="shared" ref="CC178:CY178" si="99">SUM(CC167:CC176)</f>
        <v>42</v>
      </c>
      <c r="CD178" s="173">
        <f t="shared" si="99"/>
        <v>49</v>
      </c>
      <c r="CE178" s="173">
        <f t="shared" si="99"/>
        <v>49</v>
      </c>
      <c r="CF178" s="173">
        <f t="shared" si="99"/>
        <v>49</v>
      </c>
      <c r="CG178" s="173">
        <f t="shared" si="99"/>
        <v>70</v>
      </c>
      <c r="CH178" s="173">
        <f t="shared" si="99"/>
        <v>63</v>
      </c>
      <c r="CI178" s="173">
        <f t="shared" si="99"/>
        <v>70</v>
      </c>
      <c r="CJ178" s="173">
        <f t="shared" si="99"/>
        <v>49</v>
      </c>
      <c r="CK178" s="173">
        <f t="shared" si="99"/>
        <v>49</v>
      </c>
      <c r="CL178" s="173">
        <f t="shared" si="99"/>
        <v>49</v>
      </c>
      <c r="CM178" s="173">
        <f t="shared" si="99"/>
        <v>49</v>
      </c>
      <c r="CN178" s="173">
        <f t="shared" si="99"/>
        <v>49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49</v>
      </c>
      <c r="CS178" s="173">
        <f t="shared" si="99"/>
        <v>49</v>
      </c>
      <c r="CT178" s="173">
        <f t="shared" si="99"/>
        <v>70</v>
      </c>
      <c r="CU178" s="173">
        <f t="shared" si="99"/>
        <v>70</v>
      </c>
      <c r="CV178" s="173">
        <f t="shared" si="99"/>
        <v>70</v>
      </c>
      <c r="CW178" s="173">
        <f t="shared" si="99"/>
        <v>70</v>
      </c>
      <c r="CX178" s="173">
        <f t="shared" si="99"/>
        <v>42</v>
      </c>
      <c r="CY178" s="173">
        <f t="shared" si="99"/>
        <v>42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5294</v>
      </c>
      <c r="D183" s="264">
        <f>ROUND(D184*D185,0)</f>
        <v>5014</v>
      </c>
      <c r="E183" s="17" t="s">
        <v>1295</v>
      </c>
    </row>
    <row r="184" spans="1:132" x14ac:dyDescent="0.25">
      <c r="B184" s="14" t="s">
        <v>1296</v>
      </c>
      <c r="C184" s="173">
        <f>Protection!AK26</f>
        <v>22.5</v>
      </c>
      <c r="D184" s="265">
        <f>C184*D82/C82</f>
        <v>21.336206896551722</v>
      </c>
    </row>
    <row r="185" spans="1:132" x14ac:dyDescent="0.25">
      <c r="B185" s="14" t="s">
        <v>1297</v>
      </c>
      <c r="C185" s="173">
        <f>IF(C183=0,0,ROUND(C183/C184,0))</f>
        <v>235</v>
      </c>
      <c r="D185" s="173">
        <f>C185</f>
        <v>235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4</v>
      </c>
      <c r="D189" s="173">
        <f t="shared" si="101"/>
        <v>4</v>
      </c>
      <c r="AH189" s="15"/>
      <c r="AJ189" s="14" t="s">
        <v>1114</v>
      </c>
      <c r="AK189" s="30">
        <f>D189</f>
        <v>4</v>
      </c>
      <c r="AO189" s="173">
        <f>ROUND((([1]Protect!$B$5/[1]Protect!$B$11)+[1]Protect!$B$8)*AK189,0)</f>
        <v>3617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25.6</v>
      </c>
      <c r="D191" s="173">
        <f>C191</f>
        <v>25.6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0.73750000000000004</v>
      </c>
      <c r="D192" s="266">
        <f>ROUND((D183/1000)*([1]Protect!$B$25*8/10+[1]Protect!$B$26),2)/8</f>
        <v>0.70874999999999999</v>
      </c>
      <c r="E192" s="17" t="s">
        <v>1308</v>
      </c>
      <c r="I192" s="5"/>
      <c r="AN192" s="14" t="s">
        <v>1117</v>
      </c>
      <c r="AO192" s="173">
        <f>SUM(AO189:AO191)</f>
        <v>3617</v>
      </c>
    </row>
    <row r="193" spans="1:43" x14ac:dyDescent="0.25">
      <c r="B193" s="14" t="s">
        <v>1309</v>
      </c>
      <c r="C193" s="173">
        <f>(Travail!F75+Travail!F76+Travail!F81)/8</f>
        <v>12.75</v>
      </c>
      <c r="D193" s="173">
        <f>C193</f>
        <v>12.75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3721</v>
      </c>
      <c r="D206" s="261">
        <f>ROUND(C206*D$82/C$82,0)</f>
        <v>3529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1880</v>
      </c>
      <c r="D207" s="264">
        <f>IF(L212&gt;52,52,L212)*IF(Scénario!K2="Exploit. Ind.",1,Scénario!K3)*'Calcul éco'!C43</f>
        <v>1782.424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3617</v>
      </c>
      <c r="AQ207" s="5"/>
    </row>
    <row r="208" spans="1:43" x14ac:dyDescent="0.25">
      <c r="B208" s="211" t="s">
        <v>987</v>
      </c>
      <c r="C208" s="173">
        <f>ROUND('Calcul éco'!J44,0)</f>
        <v>2570</v>
      </c>
      <c r="D208" s="261">
        <f>ROUND(C208*D$82/C$82,0)</f>
        <v>2437</v>
      </c>
      <c r="S208" s="14" t="s">
        <v>978</v>
      </c>
      <c r="T208" s="30">
        <f>L212</f>
        <v>36.375999999999998</v>
      </c>
      <c r="W208" s="14" t="s">
        <v>979</v>
      </c>
      <c r="X208" s="173">
        <f>IF(T208&gt;50,25,IF(T208&gt;25,T208-25,0))</f>
        <v>11.375999999999998</v>
      </c>
      <c r="Y208" s="173">
        <f>Y209+0.66*Y205</f>
        <v>231.70000000000002</v>
      </c>
      <c r="Z208" s="173">
        <f t="shared" ref="Z208:Z209" si="105">X208*Y208</f>
        <v>2635.8191999999995</v>
      </c>
      <c r="AF208" s="5"/>
      <c r="AK208" s="14" t="s">
        <v>1134</v>
      </c>
      <c r="AL208" s="173">
        <f>IF(AO192&lt;SUM(AK200:AK204),AO192,SUM(AK200:AK204))</f>
        <v>3617</v>
      </c>
      <c r="AQ208" s="245"/>
    </row>
    <row r="209" spans="1:43" x14ac:dyDescent="0.25">
      <c r="B209" s="19" t="s">
        <v>989</v>
      </c>
      <c r="C209" s="173">
        <f>ROUND('Calcul éco'!J45,0)</f>
        <v>9873</v>
      </c>
      <c r="D209" s="264">
        <f>IF(Scénario!K9=0,0,ROUND(Z210,0))</f>
        <v>10511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0</v>
      </c>
      <c r="Y209" s="190">
        <f>[1]Eco!$B$34</f>
        <v>70</v>
      </c>
      <c r="Z209" s="173">
        <f t="shared" si="105"/>
        <v>0</v>
      </c>
      <c r="AF209" s="5"/>
      <c r="AK209" s="14" t="s">
        <v>1135</v>
      </c>
      <c r="AL209" s="173">
        <f>IF(AO192&lt;SUM(AQ200:AQ204),AO192,SUM(AQ200:AQ204))</f>
        <v>3617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2894</v>
      </c>
      <c r="D210" s="264">
        <f>ROUND(AL207,0)</f>
        <v>3617</v>
      </c>
      <c r="E210" s="17" t="s">
        <v>1329</v>
      </c>
      <c r="K210" s="14" t="s">
        <v>990</v>
      </c>
      <c r="L210" s="173">
        <f>J221</f>
        <v>0</v>
      </c>
      <c r="Y210" s="40" t="s">
        <v>949</v>
      </c>
      <c r="Z210" s="62">
        <f>SUM(Z207:Z209)*IF(Scénario!K2="Exploit. Ind.",1,Scénario!K3)</f>
        <v>10510.8192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33099.1</v>
      </c>
      <c r="D211" s="264">
        <f>ROUND(SUM(D201:D210),0)</f>
        <v>33408</v>
      </c>
      <c r="E211" s="17" t="s">
        <v>1331</v>
      </c>
      <c r="K211" s="40" t="s">
        <v>995</v>
      </c>
      <c r="L211" s="62">
        <f>L209+L210</f>
        <v>36.375999999999998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36.375999999999998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75.209999999999994</v>
      </c>
      <c r="AK216" s="173"/>
      <c r="AL216" s="173"/>
      <c r="AM216" s="173">
        <f>'Calcul éco'!W272</f>
        <v>6</v>
      </c>
      <c r="AN216" s="173">
        <f>AJ216*AM216</f>
        <v>451.26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3219.864</v>
      </c>
      <c r="D217" s="261">
        <f t="shared" si="106"/>
        <v>3053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28951.522319999996</v>
      </c>
      <c r="D218" s="261">
        <f t="shared" si="106"/>
        <v>27454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3617</v>
      </c>
      <c r="D219" s="261">
        <f t="shared" si="106"/>
        <v>3430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476.46</v>
      </c>
      <c r="D220" s="264">
        <f>SUM(AN215:AN219)</f>
        <v>451.26</v>
      </c>
      <c r="E220" s="17" t="s">
        <v>1345</v>
      </c>
      <c r="H220" s="14" t="s">
        <v>1000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1346</v>
      </c>
      <c r="C221" s="173">
        <f>ROUND(SUM(C216:C220),0)</f>
        <v>76488</v>
      </c>
      <c r="D221" s="264">
        <f>ROUND(SUM(D216:D220),0)</f>
        <v>72531</v>
      </c>
      <c r="E221" s="17" t="s">
        <v>1345</v>
      </c>
      <c r="H221" s="14" t="s">
        <v>1001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5014</v>
      </c>
      <c r="AL225" t="s">
        <v>1101</v>
      </c>
      <c r="AM225" s="173"/>
      <c r="AN225" s="173">
        <f>[1]Protect!$B$4</f>
        <v>6</v>
      </c>
      <c r="AO225" s="173">
        <f>AK225*AN225</f>
        <v>30084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30084</v>
      </c>
      <c r="AQ228" s="30">
        <f>IF(Scénario!K84=1,MIN(0.8*AO228,[1]Protect!$B$68),IF(Scénario!K84=2,MIN(0.8*AO228,[1]Protect!$B$67),0))</f>
        <v>24067.200000000001</v>
      </c>
      <c r="AR228" s="30">
        <f>AO228-AQ228</f>
        <v>6016.7999999999993</v>
      </c>
      <c r="AS228" s="30">
        <f>(1-Scénario!K127/100)*AR228</f>
        <v>6016.7999999999993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-546.62</v>
      </c>
      <c r="D230" s="261">
        <f t="shared" si="109"/>
        <v>-518</v>
      </c>
    </row>
    <row r="231" spans="1:49" x14ac:dyDescent="0.25">
      <c r="B231" s="14" t="s">
        <v>1083</v>
      </c>
      <c r="C231" s="173">
        <f>'Calcul éco'!J159</f>
        <v>-90</v>
      </c>
      <c r="D231" s="261">
        <f t="shared" si="109"/>
        <v>-85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3326.127</v>
      </c>
      <c r="D235" s="264">
        <f>(D191+D192)*8*[1]Eco!$B$106</f>
        <v>2237.2961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38397</v>
      </c>
      <c r="D236" s="264">
        <f>ROUND(SUM(D222:D235),0)</f>
        <v>35812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-7546.8999999999942</v>
      </c>
      <c r="D237" s="264">
        <f>D194+D211-D221-D236</f>
        <v>-4536</v>
      </c>
    </row>
    <row r="238" spans="1:49" x14ac:dyDescent="0.25">
      <c r="B238" s="211" t="s">
        <v>1090</v>
      </c>
      <c r="C238" s="173">
        <f>ROUND(C237/Scénario!$K$4,0)</f>
        <v>-5031</v>
      </c>
      <c r="D238" s="264">
        <f>ROUND(D237/D83,0)</f>
        <v>-2268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783.24271114049111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-21330</v>
      </c>
      <c r="D241" s="268">
        <f>ROUND(D237-D239-D240,0)</f>
        <v>-17536</v>
      </c>
    </row>
    <row r="242" spans="1:15" x14ac:dyDescent="0.25">
      <c r="B242" s="211" t="s">
        <v>1094</v>
      </c>
      <c r="C242" s="173">
        <f>ROUND(C241/Scénario!K4,0)</f>
        <v>-14220</v>
      </c>
      <c r="D242" s="264">
        <f>ROUND(D241/D83,0)</f>
        <v>-8768</v>
      </c>
    </row>
    <row r="243" spans="1:15" x14ac:dyDescent="0.25">
      <c r="B243" s="211" t="s">
        <v>1357</v>
      </c>
      <c r="C243" s="173">
        <f>'Calcul éco'!X237+'Calcul éco'!X240</f>
        <v>31764</v>
      </c>
      <c r="D243" s="173">
        <f>C243</f>
        <v>31764</v>
      </c>
    </row>
    <row r="244" spans="1:15" x14ac:dyDescent="0.25">
      <c r="B244" s="211" t="s">
        <v>1358</v>
      </c>
      <c r="C244" s="173">
        <f>'Calcul éco'!AA237+'Calcul éco'!AA240</f>
        <v>6352.7999999999993</v>
      </c>
      <c r="D244" s="173">
        <f>C244</f>
        <v>6352.7999999999993</v>
      </c>
    </row>
    <row r="245" spans="1:15" x14ac:dyDescent="0.25">
      <c r="A245" s="2" t="s">
        <v>1359</v>
      </c>
      <c r="B245" s="14" t="s">
        <v>568</v>
      </c>
      <c r="C245" s="270">
        <f>Travail!F5</f>
        <v>574</v>
      </c>
      <c r="D245" s="173">
        <f>C245</f>
        <v>574</v>
      </c>
    </row>
    <row r="246" spans="1:15" x14ac:dyDescent="0.25">
      <c r="B246" s="14" t="s">
        <v>601</v>
      </c>
      <c r="C246" s="270">
        <f>Travail!F6</f>
        <v>144.9</v>
      </c>
      <c r="D246" s="173">
        <f t="shared" ref="D246:D247" si="112">C246</f>
        <v>144.9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1092.4957826086957</v>
      </c>
      <c r="D248" s="264">
        <f>ROUND(SUM(AV163:BS163),1)</f>
        <v>1075.0999999999999</v>
      </c>
    </row>
    <row r="249" spans="1:15" x14ac:dyDescent="0.25">
      <c r="B249" s="14" t="s">
        <v>601</v>
      </c>
      <c r="C249" s="270">
        <f>Travail!F10</f>
        <v>1008</v>
      </c>
      <c r="D249" s="264">
        <f>SUM(CB163:CY163)</f>
        <v>1008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14.129</v>
      </c>
      <c r="L258" s="190">
        <f>IF(K258&gt;[1]Trav!E121,[1]Trav!C121,[1]Trav!B121)</f>
        <v>7.2</v>
      </c>
      <c r="N258" s="274"/>
      <c r="O258">
        <f t="shared" si="114"/>
        <v>101.72879999999999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10.430999999999999</v>
      </c>
      <c r="L259" s="190">
        <f>IF(K259&gt;[1]Trav!E121,[1]Trav!C121,[1]Trav!B121)</f>
        <v>7.2</v>
      </c>
      <c r="N259" s="274"/>
      <c r="O259">
        <f t="shared" si="114"/>
        <v>75.103200000000001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107</v>
      </c>
      <c r="D267" s="264">
        <f t="shared" si="116"/>
        <v>102</v>
      </c>
    </row>
    <row r="268" spans="1:15" x14ac:dyDescent="0.25">
      <c r="B268" s="32" t="s">
        <v>791</v>
      </c>
      <c r="C268" s="270">
        <f>Travail!F56</f>
        <v>79</v>
      </c>
      <c r="D268" s="264">
        <f t="shared" si="116"/>
        <v>75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204.8</v>
      </c>
      <c r="D275" s="173">
        <f>C275</f>
        <v>204.8</v>
      </c>
    </row>
    <row r="276" spans="1:4" x14ac:dyDescent="0.25">
      <c r="A276" s="23"/>
      <c r="B276" s="32" t="s">
        <v>1369</v>
      </c>
      <c r="C276" s="270">
        <f>C192*8</f>
        <v>5.9</v>
      </c>
      <c r="D276" s="264">
        <f>D192*8</f>
        <v>5.67</v>
      </c>
    </row>
    <row r="277" spans="1:4" x14ac:dyDescent="0.25">
      <c r="B277" s="32" t="s">
        <v>1418</v>
      </c>
      <c r="C277" s="270">
        <f>Travail!F75+Travail!F81</f>
        <v>102</v>
      </c>
      <c r="D277" s="173">
        <f>C277</f>
        <v>102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3262</v>
      </c>
      <c r="D281" s="264">
        <f>ROUND(D245+D248+D251+D254+D257+D260+D261,0)</f>
        <v>3173</v>
      </c>
    </row>
    <row r="282" spans="1:4" x14ac:dyDescent="0.25">
      <c r="B282" s="14" t="s">
        <v>1372</v>
      </c>
      <c r="C282" s="173">
        <f>ROUND(C246+C249+C252+C255+C258,0)</f>
        <v>1255</v>
      </c>
      <c r="D282" s="264">
        <f>ROUND(D246+D249+D252+D255+D258,0)</f>
        <v>1250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9.14</v>
      </c>
      <c r="D284" s="173">
        <f>ROUND(D281/(Troupeau!$B$17*G63),2)</f>
        <v>9.3699999999999992</v>
      </c>
    </row>
    <row r="285" spans="1:4" x14ac:dyDescent="0.25">
      <c r="B285" s="14" t="s">
        <v>1375</v>
      </c>
      <c r="C285" s="173">
        <f>IF(Troupeau!$C$17=0,0,ROUND(C282/Troupeau!$C$17,2))</f>
        <v>59.76</v>
      </c>
      <c r="D285" s="173">
        <f>IF(Troupeau!$C$17=0,0,ROUND(D282/Troupeau!$C$17*G63,2))</f>
        <v>56.44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4517</v>
      </c>
      <c r="D287" s="264">
        <f>SUM(D281:D283)</f>
        <v>4423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283</v>
      </c>
      <c r="D289" s="264">
        <f>SUM(D262:D271)</f>
        <v>275</v>
      </c>
    </row>
    <row r="290" spans="2:4" x14ac:dyDescent="0.25">
      <c r="B290" s="14" t="s">
        <v>1420</v>
      </c>
      <c r="C290" s="270">
        <f>C275+C276+C277</f>
        <v>312.70000000000005</v>
      </c>
      <c r="D290" s="277">
        <f>D275+D276+D277</f>
        <v>312.47000000000003</v>
      </c>
    </row>
    <row r="291" spans="2:4" x14ac:dyDescent="0.25">
      <c r="B291" s="14" t="s">
        <v>1421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5713</v>
      </c>
      <c r="D292" s="264">
        <f>ROUND(SUM(D287:D291),0)</f>
        <v>5610</v>
      </c>
    </row>
    <row r="293" spans="2:4" x14ac:dyDescent="0.25">
      <c r="B293" s="14" t="s">
        <v>874</v>
      </c>
      <c r="C293" s="173">
        <f>ROUND(IF(Scénario!$K$129=1,SUM(C275:C280),SUM(C278:C280)),0)</f>
        <v>313</v>
      </c>
      <c r="D293" s="173">
        <f>ROUND(IF(Scénario!$K$129=1,SUM(D275:D280),SUM(D278:D280)),0)</f>
        <v>312</v>
      </c>
    </row>
    <row r="294" spans="2:4" x14ac:dyDescent="0.25">
      <c r="B294" s="14" t="s">
        <v>875</v>
      </c>
      <c r="C294" s="173">
        <f>ROUND((C292-C293)/C83,0)</f>
        <v>3600</v>
      </c>
      <c r="D294" s="173">
        <f>ROUND((D292-D293)/D83,0)</f>
        <v>2649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104.69724347478262</v>
      </c>
    </row>
    <row r="299" spans="2:4" x14ac:dyDescent="0.25">
      <c r="B299" s="14" t="s">
        <v>1453</v>
      </c>
      <c r="C299" s="173">
        <f>IF(Troupeau!$B$3="OL",CdTrp1!AA221,0)</f>
        <v>0</v>
      </c>
    </row>
    <row r="300" spans="2:4" x14ac:dyDescent="0.25">
      <c r="B300" s="14" t="s">
        <v>1454</v>
      </c>
      <c r="C300" s="173">
        <f>IF(Troupeau!$B$3="BV",CdTrp1!AA220,0)+IF(Troupeau!$C$3="BV",CdTrp2!AA220,0)</f>
        <v>60.53017950000001</v>
      </c>
    </row>
    <row r="301" spans="2:4" x14ac:dyDescent="0.25">
      <c r="B301" s="14" t="s">
        <v>1455</v>
      </c>
      <c r="C301" s="173">
        <f>IF(Troupeau!$B$3="BV",CdTrp1!AA221,0)+IF(Troupeau!$C$3="BV",CdTrp2!AA221,0)</f>
        <v>0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22.5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31764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112" activePane="bottomLeft" state="frozen"/>
      <selection pane="bottomLeft" activeCell="U126" sqref="U126:Y12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58.44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314.54804347826092</v>
      </c>
      <c r="N63" s="61">
        <f t="shared" si="18"/>
        <v>325.03297826086958</v>
      </c>
      <c r="O63" s="61">
        <f t="shared" si="18"/>
        <v>325.03297826086958</v>
      </c>
      <c r="P63" s="61">
        <f t="shared" si="18"/>
        <v>325.03297826086958</v>
      </c>
      <c r="Q63" s="61">
        <f t="shared" si="18"/>
        <v>325.03297826086958</v>
      </c>
      <c r="R63" s="61">
        <f t="shared" si="18"/>
        <v>314.54804347826092</v>
      </c>
      <c r="S63" s="61">
        <f t="shared" si="18"/>
        <v>314.54804347826092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35.029460869565213</v>
      </c>
      <c r="H65" s="61">
        <f t="shared" si="20"/>
        <v>33.899478260869564</v>
      </c>
      <c r="I65" s="61">
        <f t="shared" si="20"/>
        <v>33.899478260869564</v>
      </c>
      <c r="J65" s="61">
        <f t="shared" si="20"/>
        <v>87.573652173913061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20.209304347826091</v>
      </c>
      <c r="C66" s="61">
        <f t="shared" si="21"/>
        <v>20.209304347826091</v>
      </c>
      <c r="D66" s="61">
        <f t="shared" si="21"/>
        <v>18.253565217391305</v>
      </c>
      <c r="E66" s="61">
        <f t="shared" si="21"/>
        <v>18.253565217391305</v>
      </c>
      <c r="F66" s="61">
        <f t="shared" si="21"/>
        <v>20.209304347826091</v>
      </c>
      <c r="G66" s="61">
        <f t="shared" si="21"/>
        <v>20.209304347826091</v>
      </c>
      <c r="H66" s="61">
        <f t="shared" si="21"/>
        <v>19.557391304347828</v>
      </c>
      <c r="I66" s="61">
        <f t="shared" si="21"/>
        <v>19.557391304347828</v>
      </c>
      <c r="J66" s="61">
        <f t="shared" si="21"/>
        <v>20.209304347826091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20.209304347826091</v>
      </c>
      <c r="V66" s="61">
        <f t="shared" si="21"/>
        <v>19.557391304347828</v>
      </c>
      <c r="W66" s="61">
        <f t="shared" si="21"/>
        <v>19.557391304347828</v>
      </c>
      <c r="X66" s="61">
        <f t="shared" si="21"/>
        <v>20.209304347826091</v>
      </c>
      <c r="Y66" s="61">
        <f t="shared" si="21"/>
        <v>20.209304347826091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761</v>
      </c>
      <c r="C73" s="64">
        <f t="shared" ref="C73:Y73" si="28">ROUND(SUM(C63:C72),0)</f>
        <v>754</v>
      </c>
      <c r="D73" s="64">
        <f t="shared" si="28"/>
        <v>675</v>
      </c>
      <c r="E73" s="64">
        <f t="shared" si="28"/>
        <v>375</v>
      </c>
      <c r="F73" s="64">
        <f t="shared" si="28"/>
        <v>414</v>
      </c>
      <c r="G73" s="64">
        <f t="shared" si="28"/>
        <v>412</v>
      </c>
      <c r="H73" s="64">
        <f t="shared" si="28"/>
        <v>397</v>
      </c>
      <c r="I73" s="64">
        <f t="shared" si="28"/>
        <v>396</v>
      </c>
      <c r="J73" s="64">
        <f t="shared" si="28"/>
        <v>458</v>
      </c>
      <c r="K73" s="64">
        <f t="shared" si="28"/>
        <v>369</v>
      </c>
      <c r="L73" s="64">
        <f t="shared" si="28"/>
        <v>357</v>
      </c>
      <c r="M73" s="64">
        <f t="shared" si="28"/>
        <v>357</v>
      </c>
      <c r="N73" s="64">
        <f t="shared" si="28"/>
        <v>369</v>
      </c>
      <c r="O73" s="64">
        <f t="shared" si="28"/>
        <v>369</v>
      </c>
      <c r="P73" s="64">
        <f t="shared" si="28"/>
        <v>369</v>
      </c>
      <c r="Q73" s="64">
        <f t="shared" si="28"/>
        <v>369</v>
      </c>
      <c r="R73" s="64">
        <f t="shared" si="28"/>
        <v>357</v>
      </c>
      <c r="S73" s="64">
        <f t="shared" si="28"/>
        <v>357</v>
      </c>
      <c r="T73" s="64">
        <f t="shared" si="28"/>
        <v>369</v>
      </c>
      <c r="U73" s="64">
        <f t="shared" si="28"/>
        <v>408</v>
      </c>
      <c r="V73" s="64">
        <f t="shared" si="28"/>
        <v>738</v>
      </c>
      <c r="W73" s="64">
        <f t="shared" si="28"/>
        <v>736</v>
      </c>
      <c r="X73" s="64">
        <f t="shared" si="28"/>
        <v>761</v>
      </c>
      <c r="Y73" s="64">
        <f t="shared" si="28"/>
        <v>761</v>
      </c>
      <c r="Z73" s="52"/>
      <c r="AA73" s="56">
        <f>ROUND(SUM(B73:Y73),0)</f>
        <v>11688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1</v>
      </c>
      <c r="V77" s="60">
        <v>1</v>
      </c>
      <c r="W77" s="60">
        <v>1</v>
      </c>
      <c r="X77" s="60">
        <v>1</v>
      </c>
      <c r="Y77" s="60">
        <v>1</v>
      </c>
      <c r="Z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20.5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0.5</v>
      </c>
      <c r="H123" s="156">
        <v>0.5</v>
      </c>
      <c r="I123" s="156">
        <v>0.5</v>
      </c>
      <c r="J123" s="156">
        <v>0.6</v>
      </c>
      <c r="K123" s="156">
        <v>0.8</v>
      </c>
      <c r="L123" s="156">
        <v>0.9</v>
      </c>
      <c r="M123" s="156">
        <v>0.9</v>
      </c>
      <c r="N123" s="156">
        <v>0.9</v>
      </c>
      <c r="O123" s="156">
        <v>0.9</v>
      </c>
      <c r="P123" s="156">
        <v>0.9</v>
      </c>
      <c r="Q123" s="156">
        <v>0.9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5.2622839180434795</v>
      </c>
      <c r="H136" s="61">
        <f t="shared" si="51"/>
        <v>5.0661466434782616</v>
      </c>
      <c r="I136" s="61">
        <f t="shared" si="51"/>
        <v>5.0397604630434802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0.63349975956521742</v>
      </c>
      <c r="M136" s="61">
        <f t="shared" si="51"/>
        <v>0.63349975956521742</v>
      </c>
      <c r="N136" s="61">
        <f t="shared" si="51"/>
        <v>0.65461641821739125</v>
      </c>
      <c r="O136" s="61">
        <f t="shared" si="51"/>
        <v>0.65461641821739125</v>
      </c>
      <c r="P136" s="61">
        <f t="shared" si="51"/>
        <v>0.65461641821739125</v>
      </c>
      <c r="Q136" s="61">
        <f t="shared" si="51"/>
        <v>0.65461641821739125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126.08107782260871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0.41131366956521737</v>
      </c>
      <c r="E138" s="61">
        <f t="shared" si="52"/>
        <v>0.41131366956521737</v>
      </c>
      <c r="F138" s="61">
        <f t="shared" si="52"/>
        <v>0.45538299130434778</v>
      </c>
      <c r="G138" s="61">
        <f t="shared" si="52"/>
        <v>0.45538299130434778</v>
      </c>
      <c r="H138" s="61">
        <f t="shared" si="52"/>
        <v>0.44069321739130435</v>
      </c>
      <c r="I138" s="61">
        <f t="shared" si="52"/>
        <v>0.44069321739130435</v>
      </c>
      <c r="J138" s="61">
        <f t="shared" si="52"/>
        <v>1.1384574782608696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6.0154624173913049</v>
      </c>
    </row>
    <row r="139" spans="1:31" x14ac:dyDescent="0.25">
      <c r="A139" s="127" t="str">
        <f>A$18</f>
        <v>beliers</v>
      </c>
      <c r="B139" s="61">
        <f t="shared" si="52"/>
        <v>0.26272095652173921</v>
      </c>
      <c r="C139" s="61">
        <f t="shared" si="52"/>
        <v>0.26272095652173921</v>
      </c>
      <c r="D139" s="61">
        <f t="shared" si="52"/>
        <v>0.23729634782608697</v>
      </c>
      <c r="E139" s="61">
        <f t="shared" si="52"/>
        <v>0.23729634782608697</v>
      </c>
      <c r="F139" s="61">
        <f t="shared" si="52"/>
        <v>0.26272095652173921</v>
      </c>
      <c r="G139" s="61">
        <f t="shared" si="52"/>
        <v>0.26272095652173921</v>
      </c>
      <c r="H139" s="61">
        <f t="shared" si="52"/>
        <v>0.25424608695652179</v>
      </c>
      <c r="I139" s="61">
        <f t="shared" si="52"/>
        <v>0.25424608695652179</v>
      </c>
      <c r="J139" s="61">
        <f t="shared" si="52"/>
        <v>0.26272095652173921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0.26272095652173921</v>
      </c>
      <c r="V139" s="61">
        <f t="shared" si="52"/>
        <v>0.25424608695652179</v>
      </c>
      <c r="W139" s="61">
        <f t="shared" si="52"/>
        <v>0.25424608695652179</v>
      </c>
      <c r="X139" s="61">
        <f t="shared" si="52"/>
        <v>0.26272095652173921</v>
      </c>
      <c r="Y139" s="61">
        <f t="shared" si="52"/>
        <v>0.26272095652173921</v>
      </c>
      <c r="AA139" s="61">
        <f t="shared" si="53"/>
        <v>3.5933446956521742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135.6898849356522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149.25887342921743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5.2622839180434795</v>
      </c>
      <c r="H149" s="61">
        <f t="shared" si="55"/>
        <v>5.0661466434782616</v>
      </c>
      <c r="I149" s="61">
        <f t="shared" si="55"/>
        <v>5.0397604630434802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5.7014978360869577</v>
      </c>
      <c r="M149" s="61">
        <f t="shared" si="55"/>
        <v>5.7014978360869577</v>
      </c>
      <c r="N149" s="61">
        <f t="shared" si="55"/>
        <v>5.891547763956523</v>
      </c>
      <c r="O149" s="61">
        <f t="shared" si="55"/>
        <v>5.891547763956523</v>
      </c>
      <c r="P149" s="61">
        <f t="shared" si="55"/>
        <v>5.891547763956523</v>
      </c>
      <c r="Q149" s="61">
        <f t="shared" si="55"/>
        <v>5.891547763956523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1.1384574782608696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104.69724347478264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5.2622839180434795</v>
      </c>
      <c r="H162" s="61">
        <f t="shared" si="65"/>
        <v>5.0661466434782616</v>
      </c>
      <c r="I162" s="61">
        <f t="shared" si="65"/>
        <v>5.0397604630434802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5.7014978360869577</v>
      </c>
      <c r="M162" s="61">
        <f t="shared" si="65"/>
        <v>5.7014978360869577</v>
      </c>
      <c r="N162" s="61">
        <f t="shared" si="65"/>
        <v>5.891547763956523</v>
      </c>
      <c r="O162" s="61">
        <f t="shared" si="65"/>
        <v>5.891547763956523</v>
      </c>
      <c r="P162" s="61">
        <f t="shared" si="65"/>
        <v>5.891547763956523</v>
      </c>
      <c r="Q162" s="61">
        <f t="shared" si="65"/>
        <v>5.891547763956523</v>
      </c>
      <c r="R162" s="61">
        <f t="shared" si="65"/>
        <v>6.3349975956521751</v>
      </c>
      <c r="S162" s="61">
        <f t="shared" si="65"/>
        <v>6.3349975956521751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0.83194969565217392</v>
      </c>
      <c r="C163" s="61">
        <f t="shared" si="66"/>
        <v>0.83194969565217392</v>
      </c>
      <c r="D163" s="61">
        <f t="shared" si="66"/>
        <v>0.75143843478260874</v>
      </c>
      <c r="E163" s="61">
        <f t="shared" si="66"/>
        <v>0.75143843478260874</v>
      </c>
      <c r="F163" s="61">
        <f t="shared" si="66"/>
        <v>0.83194969565217392</v>
      </c>
      <c r="G163" s="61">
        <f t="shared" si="66"/>
        <v>0.83194969565217392</v>
      </c>
      <c r="H163" s="61">
        <f t="shared" si="66"/>
        <v>0.80511260869565215</v>
      </c>
      <c r="I163" s="61">
        <f t="shared" si="66"/>
        <v>0.80511260869565215</v>
      </c>
      <c r="J163" s="61">
        <f t="shared" si="66"/>
        <v>0.83194969565217392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0.83194969565217392</v>
      </c>
      <c r="V163" s="61">
        <f t="shared" si="66"/>
        <v>0.80511260869565215</v>
      </c>
      <c r="W163" s="61">
        <f t="shared" si="66"/>
        <v>0.80511260869565215</v>
      </c>
      <c r="X163" s="61">
        <f t="shared" si="66"/>
        <v>0.83194969565217392</v>
      </c>
      <c r="Y163" s="61">
        <f t="shared" si="66"/>
        <v>0.83194969565217392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1.1384574782608696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0.83194969565217392</v>
      </c>
      <c r="C172" s="61">
        <f t="shared" ref="C172:Y172" si="75">SUM(C162:C171)</f>
        <v>0.83194969565217392</v>
      </c>
      <c r="D172" s="61">
        <f t="shared" si="75"/>
        <v>0.75143843478260874</v>
      </c>
      <c r="E172" s="61">
        <f t="shared" si="75"/>
        <v>0.75143843478260874</v>
      </c>
      <c r="F172" s="61">
        <f t="shared" si="75"/>
        <v>0.83194969565217392</v>
      </c>
      <c r="G172" s="61">
        <f t="shared" si="75"/>
        <v>6.0942336136956534</v>
      </c>
      <c r="H172" s="61">
        <f t="shared" si="75"/>
        <v>5.871259252173914</v>
      </c>
      <c r="I172" s="61">
        <f t="shared" si="75"/>
        <v>5.8448730717391326</v>
      </c>
      <c r="J172" s="61">
        <f t="shared" si="75"/>
        <v>7.0158149423478262</v>
      </c>
      <c r="K172" s="61">
        <f t="shared" si="75"/>
        <v>6.3753888240000016</v>
      </c>
      <c r="L172" s="61">
        <f t="shared" si="75"/>
        <v>6.8032308795652181</v>
      </c>
      <c r="M172" s="61">
        <f t="shared" si="75"/>
        <v>6.8032308795652181</v>
      </c>
      <c r="N172" s="61">
        <f t="shared" si="75"/>
        <v>7.0300052422173929</v>
      </c>
      <c r="O172" s="61">
        <f t="shared" si="75"/>
        <v>7.0300052422173929</v>
      </c>
      <c r="P172" s="61">
        <f t="shared" si="75"/>
        <v>7.0300052422173929</v>
      </c>
      <c r="Q172" s="61">
        <f t="shared" si="75"/>
        <v>7.0300052422173929</v>
      </c>
      <c r="R172" s="61">
        <f t="shared" si="75"/>
        <v>7.4367306391304364</v>
      </c>
      <c r="S172" s="61">
        <f t="shared" si="75"/>
        <v>7.4367306391304364</v>
      </c>
      <c r="T172" s="61">
        <f t="shared" si="75"/>
        <v>3.7094683363043481</v>
      </c>
      <c r="U172" s="61">
        <f t="shared" si="75"/>
        <v>5.9134108630434792</v>
      </c>
      <c r="V172" s="61">
        <f t="shared" si="75"/>
        <v>0.80511260869565215</v>
      </c>
      <c r="W172" s="61">
        <f t="shared" si="75"/>
        <v>0.80511260869565215</v>
      </c>
      <c r="X172" s="61">
        <f t="shared" si="75"/>
        <v>0.83194969565217392</v>
      </c>
      <c r="Y172" s="61">
        <f t="shared" si="75"/>
        <v>0.83194969565217392</v>
      </c>
      <c r="AA172" s="64">
        <f>SUM(B172:Y172)</f>
        <v>104.69724347478262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0.83194969565217392</v>
      </c>
      <c r="C215" s="61">
        <f t="shared" ref="C215:Y215" si="108">C172</f>
        <v>0.83194969565217392</v>
      </c>
      <c r="D215" s="61">
        <f t="shared" si="108"/>
        <v>0.75143843478260874</v>
      </c>
      <c r="E215" s="61">
        <f t="shared" si="108"/>
        <v>0.75143843478260874</v>
      </c>
      <c r="F215" s="61">
        <f t="shared" si="108"/>
        <v>0.83194969565217392</v>
      </c>
      <c r="G215" s="61">
        <f t="shared" si="108"/>
        <v>6.0942336136956534</v>
      </c>
      <c r="H215" s="61">
        <f t="shared" si="108"/>
        <v>5.871259252173914</v>
      </c>
      <c r="I215" s="61">
        <f t="shared" si="108"/>
        <v>5.8448730717391326</v>
      </c>
      <c r="J215" s="61">
        <f t="shared" si="108"/>
        <v>7.0158149423478262</v>
      </c>
      <c r="K215" s="61">
        <f t="shared" si="108"/>
        <v>6.3753888240000016</v>
      </c>
      <c r="L215" s="61">
        <f t="shared" si="108"/>
        <v>6.8032308795652181</v>
      </c>
      <c r="M215" s="61">
        <f t="shared" si="108"/>
        <v>6.8032308795652181</v>
      </c>
      <c r="N215" s="61">
        <f t="shared" si="108"/>
        <v>7.0300052422173929</v>
      </c>
      <c r="O215" s="61">
        <f t="shared" si="108"/>
        <v>7.0300052422173929</v>
      </c>
      <c r="P215" s="61">
        <f t="shared" si="108"/>
        <v>7.0300052422173929</v>
      </c>
      <c r="Q215" s="61">
        <f t="shared" si="108"/>
        <v>7.0300052422173929</v>
      </c>
      <c r="R215" s="61">
        <f t="shared" si="108"/>
        <v>7.4367306391304364</v>
      </c>
      <c r="S215" s="61">
        <f t="shared" si="108"/>
        <v>7.4367306391304364</v>
      </c>
      <c r="T215" s="61">
        <f t="shared" si="108"/>
        <v>3.7094683363043481</v>
      </c>
      <c r="U215" s="61">
        <f t="shared" si="108"/>
        <v>5.9134108630434792</v>
      </c>
      <c r="V215" s="61">
        <f t="shared" si="108"/>
        <v>0.80511260869565215</v>
      </c>
      <c r="W215" s="61">
        <f t="shared" si="108"/>
        <v>0.80511260869565215</v>
      </c>
      <c r="X215" s="61">
        <f t="shared" si="108"/>
        <v>0.83194969565217392</v>
      </c>
      <c r="Y215" s="61">
        <f t="shared" si="108"/>
        <v>0.83194969565217392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104.69724347478262</v>
      </c>
      <c r="AB219" t="s">
        <v>222</v>
      </c>
    </row>
    <row r="220" spans="1:28" x14ac:dyDescent="0.25">
      <c r="AA220" s="30">
        <f>SUM(B215:Y217)</f>
        <v>104.69724347478262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2" activePane="bottomLeft" state="frozen"/>
      <selection pane="bottomLeft" activeCell="B124" sqref="B124:Y12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1466</v>
      </c>
      <c r="B18" s="162">
        <v>15.5</v>
      </c>
      <c r="C18" s="162">
        <v>15.5</v>
      </c>
      <c r="D18" s="162">
        <v>15.5</v>
      </c>
      <c r="E18" s="162">
        <v>15.5</v>
      </c>
      <c r="F18" s="162">
        <v>15.5</v>
      </c>
      <c r="G18" s="162">
        <v>12</v>
      </c>
      <c r="H18" s="162">
        <v>8</v>
      </c>
      <c r="I18" s="162">
        <v>4</v>
      </c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>
        <v>3.4</v>
      </c>
      <c r="U18" s="162">
        <v>7</v>
      </c>
      <c r="V18" s="162">
        <v>10</v>
      </c>
      <c r="W18" s="162">
        <v>12.5</v>
      </c>
      <c r="X18" s="162">
        <v>15</v>
      </c>
      <c r="Y18" s="162">
        <v>17</v>
      </c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60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Broutards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13.566000000000001</v>
      </c>
      <c r="C39" s="61">
        <f t="shared" ref="C39:Y48" si="13">C15*C27</f>
        <v>13.566000000000001</v>
      </c>
      <c r="D39" s="61">
        <f t="shared" si="13"/>
        <v>13.566000000000001</v>
      </c>
      <c r="E39" s="61">
        <f t="shared" si="13"/>
        <v>13.566000000000001</v>
      </c>
      <c r="F39" s="61">
        <f t="shared" si="13"/>
        <v>13.566000000000001</v>
      </c>
      <c r="G39" s="61">
        <f t="shared" si="13"/>
        <v>13.566000000000001</v>
      </c>
      <c r="H39" s="61">
        <f t="shared" si="13"/>
        <v>13.566000000000001</v>
      </c>
      <c r="I39" s="61">
        <f t="shared" si="13"/>
        <v>13.566000000000001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12.851999999999999</v>
      </c>
      <c r="U39" s="61">
        <f t="shared" si="13"/>
        <v>12.851999999999999</v>
      </c>
      <c r="V39" s="61">
        <f t="shared" si="13"/>
        <v>13.566000000000001</v>
      </c>
      <c r="W39" s="61">
        <f t="shared" si="13"/>
        <v>13.566000000000001</v>
      </c>
      <c r="X39" s="61">
        <f t="shared" si="13"/>
        <v>13.566000000000001</v>
      </c>
      <c r="Y39" s="61">
        <f t="shared" si="13"/>
        <v>13.566000000000001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Broutards</v>
      </c>
      <c r="B42" s="61">
        <f t="shared" si="14"/>
        <v>2.3249999999999997</v>
      </c>
      <c r="C42" s="61">
        <f t="shared" si="13"/>
        <v>2.3249999999999997</v>
      </c>
      <c r="D42" s="61">
        <f t="shared" si="13"/>
        <v>2.3249999999999997</v>
      </c>
      <c r="E42" s="61">
        <f t="shared" si="13"/>
        <v>2.3249999999999997</v>
      </c>
      <c r="F42" s="61">
        <f t="shared" si="13"/>
        <v>2.3249999999999997</v>
      </c>
      <c r="G42" s="61">
        <f t="shared" si="13"/>
        <v>1.7999999999999998</v>
      </c>
      <c r="H42" s="61">
        <f t="shared" si="13"/>
        <v>1.2</v>
      </c>
      <c r="I42" s="61">
        <f t="shared" si="13"/>
        <v>0.6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0.51</v>
      </c>
      <c r="U42" s="61">
        <f t="shared" si="13"/>
        <v>1.05</v>
      </c>
      <c r="V42" s="61">
        <f t="shared" si="13"/>
        <v>1.5</v>
      </c>
      <c r="W42" s="61">
        <f t="shared" si="13"/>
        <v>1.875</v>
      </c>
      <c r="X42" s="61">
        <f t="shared" si="13"/>
        <v>2.25</v>
      </c>
      <c r="Y42" s="61">
        <f t="shared" si="13"/>
        <v>2.5499999999999998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22.946999999999999</v>
      </c>
      <c r="C49" s="62">
        <f t="shared" ref="C49:Y49" si="15">SUM(C39:C48)</f>
        <v>22.946999999999999</v>
      </c>
      <c r="D49" s="62">
        <f t="shared" si="15"/>
        <v>22.946999999999999</v>
      </c>
      <c r="E49" s="62">
        <f t="shared" si="15"/>
        <v>22.946999999999999</v>
      </c>
      <c r="F49" s="62">
        <f t="shared" si="15"/>
        <v>22.946999999999999</v>
      </c>
      <c r="G49" s="62">
        <f t="shared" si="15"/>
        <v>23.01</v>
      </c>
      <c r="H49" s="62">
        <f t="shared" si="15"/>
        <v>22.998000000000001</v>
      </c>
      <c r="I49" s="62">
        <f t="shared" si="15"/>
        <v>22.986000000000001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21.888000000000002</v>
      </c>
      <c r="U49" s="62">
        <f t="shared" si="15"/>
        <v>22.428000000000001</v>
      </c>
      <c r="V49" s="62">
        <f t="shared" si="15"/>
        <v>22.71</v>
      </c>
      <c r="W49" s="62">
        <f t="shared" si="15"/>
        <v>22.791</v>
      </c>
      <c r="X49" s="62">
        <f t="shared" si="15"/>
        <v>22.872</v>
      </c>
      <c r="Y49" s="62">
        <f t="shared" si="15"/>
        <v>23.172000000000001</v>
      </c>
      <c r="Z49" s="23"/>
      <c r="AA49" s="46">
        <f>AVERAGE(B49:Y49)</f>
        <v>22.584250000000001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Broutards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18.245000000000001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210.27300000000002</v>
      </c>
      <c r="C63" s="61">
        <f t="shared" si="18"/>
        <v>210.27300000000002</v>
      </c>
      <c r="D63" s="61">
        <f t="shared" si="18"/>
        <v>189.92400000000001</v>
      </c>
      <c r="E63" s="61">
        <f t="shared" si="18"/>
        <v>189.92400000000001</v>
      </c>
      <c r="F63" s="61">
        <f t="shared" si="18"/>
        <v>210.27300000000002</v>
      </c>
      <c r="G63" s="61">
        <f t="shared" si="18"/>
        <v>210.27300000000002</v>
      </c>
      <c r="H63" s="61">
        <f t="shared" si="18"/>
        <v>101.745</v>
      </c>
      <c r="I63" s="61">
        <f t="shared" si="18"/>
        <v>101.745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99.602999999999994</v>
      </c>
      <c r="U63" s="61">
        <f t="shared" si="18"/>
        <v>99.602999999999994</v>
      </c>
      <c r="V63" s="61">
        <f t="shared" si="18"/>
        <v>101.745</v>
      </c>
      <c r="W63" s="61">
        <f t="shared" si="18"/>
        <v>101.745</v>
      </c>
      <c r="X63" s="61">
        <f t="shared" si="18"/>
        <v>210.27300000000002</v>
      </c>
      <c r="Y63" s="61">
        <f t="shared" si="18"/>
        <v>210.27300000000002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9.113999999999999</v>
      </c>
      <c r="H64" s="61">
        <f t="shared" si="18"/>
        <v>17.64</v>
      </c>
      <c r="I64" s="61">
        <f t="shared" si="18"/>
        <v>26.459999999999997</v>
      </c>
      <c r="J64" s="61">
        <f t="shared" si="18"/>
        <v>27.341999999999995</v>
      </c>
      <c r="K64" s="61">
        <f t="shared" si="18"/>
        <v>27.341999999999995</v>
      </c>
      <c r="L64" s="61">
        <f t="shared" si="18"/>
        <v>26.459999999999997</v>
      </c>
      <c r="M64" s="61">
        <f t="shared" si="18"/>
        <v>26.459999999999997</v>
      </c>
      <c r="N64" s="61">
        <f t="shared" si="18"/>
        <v>27.341999999999995</v>
      </c>
      <c r="O64" s="61">
        <f t="shared" si="18"/>
        <v>27.341999999999995</v>
      </c>
      <c r="P64" s="61">
        <f t="shared" si="18"/>
        <v>27.341999999999995</v>
      </c>
      <c r="Q64" s="61">
        <f t="shared" si="18"/>
        <v>27.341999999999995</v>
      </c>
      <c r="R64" s="61">
        <f t="shared" si="18"/>
        <v>26.459999999999997</v>
      </c>
      <c r="S64" s="61">
        <f t="shared" si="18"/>
        <v>26.459999999999997</v>
      </c>
      <c r="T64" s="61">
        <f t="shared" si="18"/>
        <v>22.785</v>
      </c>
      <c r="U64" s="61">
        <f t="shared" si="18"/>
        <v>22.785</v>
      </c>
      <c r="V64" s="61">
        <f t="shared" si="18"/>
        <v>8.82</v>
      </c>
      <c r="W64" s="61">
        <f t="shared" si="18"/>
        <v>4.41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Broutards</v>
      </c>
      <c r="B66" s="61">
        <f t="shared" si="18"/>
        <v>36.037499999999994</v>
      </c>
      <c r="C66" s="61">
        <f t="shared" si="18"/>
        <v>36.037499999999994</v>
      </c>
      <c r="D66" s="61">
        <f t="shared" si="18"/>
        <v>32.549999999999997</v>
      </c>
      <c r="E66" s="61">
        <f t="shared" si="18"/>
        <v>32.549999999999997</v>
      </c>
      <c r="F66" s="61">
        <f t="shared" si="18"/>
        <v>36.037499999999994</v>
      </c>
      <c r="G66" s="61">
        <f t="shared" si="18"/>
        <v>27.9</v>
      </c>
      <c r="H66" s="61">
        <f t="shared" si="18"/>
        <v>18</v>
      </c>
      <c r="I66" s="61">
        <f t="shared" si="18"/>
        <v>9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7.9050000000000002</v>
      </c>
      <c r="U66" s="61">
        <f t="shared" si="18"/>
        <v>16.275000000000002</v>
      </c>
      <c r="V66" s="61">
        <f t="shared" si="18"/>
        <v>22.5</v>
      </c>
      <c r="W66" s="61">
        <f t="shared" si="18"/>
        <v>28.125</v>
      </c>
      <c r="X66" s="61">
        <f t="shared" si="18"/>
        <v>34.875</v>
      </c>
      <c r="Y66" s="61">
        <f t="shared" si="18"/>
        <v>39.524999999999999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356</v>
      </c>
      <c r="C73" s="64">
        <f t="shared" ref="C73:Y73" si="19">ROUND(SUM(C63:C72),0)</f>
        <v>356</v>
      </c>
      <c r="D73" s="64">
        <f t="shared" si="19"/>
        <v>222</v>
      </c>
      <c r="E73" s="64">
        <f t="shared" si="19"/>
        <v>222</v>
      </c>
      <c r="F73" s="64">
        <f t="shared" si="19"/>
        <v>246</v>
      </c>
      <c r="G73" s="64">
        <f t="shared" si="19"/>
        <v>247</v>
      </c>
      <c r="H73" s="64">
        <f t="shared" si="19"/>
        <v>137</v>
      </c>
      <c r="I73" s="64">
        <f t="shared" si="19"/>
        <v>137</v>
      </c>
      <c r="J73" s="64">
        <f t="shared" si="19"/>
        <v>132</v>
      </c>
      <c r="K73" s="64">
        <f t="shared" si="19"/>
        <v>132</v>
      </c>
      <c r="L73" s="64">
        <f t="shared" si="19"/>
        <v>26</v>
      </c>
      <c r="M73" s="64">
        <f t="shared" si="19"/>
        <v>26</v>
      </c>
      <c r="N73" s="64">
        <f t="shared" si="19"/>
        <v>27</v>
      </c>
      <c r="O73" s="64">
        <f t="shared" si="19"/>
        <v>27</v>
      </c>
      <c r="P73" s="64">
        <f t="shared" si="19"/>
        <v>27</v>
      </c>
      <c r="Q73" s="64">
        <f t="shared" si="19"/>
        <v>27</v>
      </c>
      <c r="R73" s="64">
        <f t="shared" si="19"/>
        <v>26</v>
      </c>
      <c r="S73" s="64">
        <f t="shared" si="19"/>
        <v>26</v>
      </c>
      <c r="T73" s="64">
        <f t="shared" si="19"/>
        <v>130</v>
      </c>
      <c r="U73" s="64">
        <f t="shared" si="19"/>
        <v>139</v>
      </c>
      <c r="V73" s="64">
        <f t="shared" si="19"/>
        <v>133</v>
      </c>
      <c r="W73" s="64">
        <f t="shared" si="19"/>
        <v>134</v>
      </c>
      <c r="X73" s="64">
        <f t="shared" si="19"/>
        <v>355</v>
      </c>
      <c r="Y73" s="64">
        <f t="shared" si="19"/>
        <v>359</v>
      </c>
      <c r="Z73" s="52"/>
      <c r="AA73" s="56">
        <f>ROUND(SUM(B73:Y73),0)</f>
        <v>3649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2</v>
      </c>
      <c r="U76" s="60">
        <v>2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18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2</v>
      </c>
      <c r="V78" s="60">
        <v>2</v>
      </c>
      <c r="W78" s="60">
        <v>2</v>
      </c>
      <c r="X78" s="60"/>
      <c r="Y78" s="60"/>
      <c r="AB78">
        <v>1</v>
      </c>
      <c r="AC78">
        <f>COUNTIF($B$76:$Y$85,AB78)/2</f>
        <v>4.5</v>
      </c>
      <c r="AG78" s="5"/>
    </row>
    <row r="79" spans="1:33" x14ac:dyDescent="0.25">
      <c r="A79" s="127" t="str">
        <f>A$18</f>
        <v>Broutards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Broutards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Broutards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2.6185997599999999</v>
      </c>
      <c r="C110" s="61">
        <f t="shared" si="31"/>
        <v>2.6185997599999999</v>
      </c>
      <c r="D110" s="61">
        <f t="shared" si="31"/>
        <v>2.36518688</v>
      </c>
      <c r="E110" s="61">
        <f t="shared" si="31"/>
        <v>2.36518688</v>
      </c>
      <c r="F110" s="61">
        <f t="shared" si="31"/>
        <v>2.6185997599999999</v>
      </c>
      <c r="G110" s="61">
        <f t="shared" si="31"/>
        <v>2.6185997599999999</v>
      </c>
      <c r="H110" s="61">
        <f t="shared" si="31"/>
        <v>2.4927524999999999</v>
      </c>
      <c r="I110" s="61">
        <f t="shared" si="31"/>
        <v>2.4927524999999999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2.7888839999999999</v>
      </c>
      <c r="U110" s="61">
        <f t="shared" si="31"/>
        <v>2.7888839999999999</v>
      </c>
      <c r="V110" s="61">
        <f t="shared" si="31"/>
        <v>2.8488600000000002</v>
      </c>
      <c r="W110" s="61">
        <f t="shared" si="31"/>
        <v>2.8488600000000002</v>
      </c>
      <c r="X110" s="61">
        <f t="shared" si="31"/>
        <v>2.6185997599999999</v>
      </c>
      <c r="Y110" s="61">
        <f t="shared" si="31"/>
        <v>2.6185997599999999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Broutards</v>
      </c>
      <c r="B113" s="61">
        <f t="shared" si="31"/>
        <v>0.44145937499999993</v>
      </c>
      <c r="C113" s="61">
        <f t="shared" si="31"/>
        <v>0.44145937499999993</v>
      </c>
      <c r="D113" s="61">
        <f t="shared" si="31"/>
        <v>0.39873749999999997</v>
      </c>
      <c r="E113" s="61">
        <f t="shared" si="31"/>
        <v>0.39873749999999997</v>
      </c>
      <c r="F113" s="61">
        <f t="shared" si="31"/>
        <v>0.44145937499999993</v>
      </c>
      <c r="G113" s="61">
        <f t="shared" si="31"/>
        <v>0.341775</v>
      </c>
      <c r="H113" s="61">
        <f t="shared" si="31"/>
        <v>0.2205</v>
      </c>
      <c r="I113" s="61">
        <f t="shared" si="31"/>
        <v>0.11025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9.6836250000000013E-2</v>
      </c>
      <c r="U113" s="61">
        <f t="shared" si="31"/>
        <v>0.19936875000000004</v>
      </c>
      <c r="V113" s="61">
        <f t="shared" si="31"/>
        <v>0.27562500000000001</v>
      </c>
      <c r="W113" s="61">
        <f t="shared" si="31"/>
        <v>0.34453125000000001</v>
      </c>
      <c r="X113" s="61">
        <f t="shared" si="31"/>
        <v>0.42721874999999998</v>
      </c>
      <c r="Y113" s="61">
        <f t="shared" si="31"/>
        <v>0.48418124999999995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4.5</v>
      </c>
      <c r="C120" s="61">
        <f t="shared" ref="C120:Y120" si="32">SUM(C110:C119)</f>
        <v>4.4220552949999998</v>
      </c>
      <c r="D120" s="61">
        <f t="shared" si="32"/>
        <v>3.9941144599999996</v>
      </c>
      <c r="E120" s="61">
        <f t="shared" si="32"/>
        <v>3.9941144599999996</v>
      </c>
      <c r="F120" s="61">
        <f t="shared" si="32"/>
        <v>4.4818431349999992</v>
      </c>
      <c r="G120" s="61">
        <f t="shared" si="32"/>
        <v>4.5006407599999996</v>
      </c>
      <c r="H120" s="61">
        <f t="shared" si="32"/>
        <v>4.3184925000000005</v>
      </c>
      <c r="I120" s="61">
        <f t="shared" si="32"/>
        <v>4.3229024999999996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4.6037092499999996</v>
      </c>
      <c r="U120" s="61">
        <f t="shared" si="32"/>
        <v>4.7062417499999993</v>
      </c>
      <c r="V120" s="61">
        <f t="shared" si="32"/>
        <v>4.6150649999999995</v>
      </c>
      <c r="W120" s="61">
        <f t="shared" si="32"/>
        <v>4.6266412499999996</v>
      </c>
      <c r="X120" s="61">
        <f t="shared" si="32"/>
        <v>4.4078146699999996</v>
      </c>
      <c r="Y120" s="61">
        <f t="shared" si="32"/>
        <v>4.4647771699999996</v>
      </c>
      <c r="AA120" s="57">
        <f>SUM(B120:Y120)</f>
        <v>104.1831227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Broutards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2.6185997599999999</v>
      </c>
      <c r="C136" s="61">
        <f t="shared" ref="C136:Y136" si="33">C110*(1-C123)</f>
        <v>2.6185997599999999</v>
      </c>
      <c r="D136" s="61">
        <f t="shared" si="33"/>
        <v>2.36518688</v>
      </c>
      <c r="E136" s="61">
        <f t="shared" si="33"/>
        <v>2.36518688</v>
      </c>
      <c r="F136" s="61">
        <f t="shared" si="33"/>
        <v>2.6185997599999999</v>
      </c>
      <c r="G136" s="61">
        <f t="shared" si="33"/>
        <v>2.6185997599999999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1.394442</v>
      </c>
      <c r="U136" s="61">
        <f t="shared" si="33"/>
        <v>1.394442</v>
      </c>
      <c r="V136" s="61">
        <f t="shared" si="33"/>
        <v>1.4244300000000001</v>
      </c>
      <c r="W136" s="61">
        <f t="shared" si="33"/>
        <v>1.4244300000000001</v>
      </c>
      <c r="X136" s="61">
        <f t="shared" si="33"/>
        <v>2.6185997599999999</v>
      </c>
      <c r="Y136" s="61">
        <f t="shared" si="33"/>
        <v>2.6185997599999999</v>
      </c>
      <c r="AA136" s="61">
        <f>SUM(B136:Y136)</f>
        <v>26.079716320000003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0.11848199999999999</v>
      </c>
      <c r="H137" s="61">
        <f t="shared" si="34"/>
        <v>0.22932</v>
      </c>
      <c r="I137" s="61">
        <f t="shared" si="34"/>
        <v>0.34397999999999995</v>
      </c>
      <c r="J137" s="61">
        <f t="shared" si="34"/>
        <v>0.35544599999999993</v>
      </c>
      <c r="K137" s="61">
        <f t="shared" si="34"/>
        <v>0.35544599999999993</v>
      </c>
      <c r="L137" s="61">
        <f t="shared" si="34"/>
        <v>0.34397999999999995</v>
      </c>
      <c r="M137" s="61">
        <f t="shared" si="34"/>
        <v>0.34397999999999995</v>
      </c>
      <c r="N137" s="61">
        <f t="shared" si="34"/>
        <v>0.35544599999999993</v>
      </c>
      <c r="O137" s="61">
        <f t="shared" si="34"/>
        <v>0.35544599999999993</v>
      </c>
      <c r="P137" s="61">
        <f t="shared" si="34"/>
        <v>0.35544599999999993</v>
      </c>
      <c r="Q137" s="61">
        <f t="shared" si="34"/>
        <v>0.35544599999999993</v>
      </c>
      <c r="R137" s="61">
        <f t="shared" si="34"/>
        <v>0.34397999999999995</v>
      </c>
      <c r="S137" s="61">
        <f t="shared" si="34"/>
        <v>0.34397999999999995</v>
      </c>
      <c r="T137" s="61">
        <f t="shared" si="34"/>
        <v>0.296205</v>
      </c>
      <c r="U137" s="61">
        <f t="shared" si="34"/>
        <v>0.296205</v>
      </c>
      <c r="V137" s="61">
        <f t="shared" si="34"/>
        <v>0.11466</v>
      </c>
      <c r="W137" s="61">
        <f t="shared" si="34"/>
        <v>5.7329999999999999E-2</v>
      </c>
      <c r="X137" s="61">
        <f t="shared" si="34"/>
        <v>0</v>
      </c>
      <c r="Y137" s="61">
        <f t="shared" si="34"/>
        <v>0</v>
      </c>
      <c r="AA137" s="61">
        <f>SUM(B137:Y137)</f>
        <v>4.9647779999999981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Broutards</v>
      </c>
      <c r="B139" s="61">
        <f t="shared" si="34"/>
        <v>0.44145937499999993</v>
      </c>
      <c r="C139" s="61">
        <f t="shared" si="34"/>
        <v>0.44145937499999993</v>
      </c>
      <c r="D139" s="61">
        <f t="shared" si="34"/>
        <v>0.39873749999999997</v>
      </c>
      <c r="E139" s="61">
        <f t="shared" si="34"/>
        <v>0.39873749999999997</v>
      </c>
      <c r="F139" s="61">
        <f t="shared" si="34"/>
        <v>0.44145937499999993</v>
      </c>
      <c r="G139" s="61">
        <f t="shared" si="34"/>
        <v>0.341775</v>
      </c>
      <c r="H139" s="61">
        <f t="shared" si="34"/>
        <v>0.2205</v>
      </c>
      <c r="I139" s="61">
        <f t="shared" si="34"/>
        <v>0.11025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9.6836250000000013E-2</v>
      </c>
      <c r="U139" s="61">
        <f t="shared" si="34"/>
        <v>0.19936875000000004</v>
      </c>
      <c r="V139" s="61">
        <f t="shared" si="34"/>
        <v>0.27562500000000001</v>
      </c>
      <c r="W139" s="61">
        <f t="shared" si="34"/>
        <v>0.34453125000000001</v>
      </c>
      <c r="X139" s="61">
        <f t="shared" si="34"/>
        <v>0.42721874999999998</v>
      </c>
      <c r="Y139" s="61">
        <f t="shared" si="34"/>
        <v>0.48418124999999995</v>
      </c>
      <c r="AA139" s="61">
        <f t="shared" si="35"/>
        <v>4.6221393749999997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43.574998495000003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45.753748419750004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2.4927524999999999</v>
      </c>
      <c r="I149" s="61">
        <f t="shared" si="37"/>
        <v>2.4927524999999999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1.394442</v>
      </c>
      <c r="U149" s="61">
        <f t="shared" si="37"/>
        <v>1.394442</v>
      </c>
      <c r="V149" s="61">
        <f t="shared" si="37"/>
        <v>1.4244300000000001</v>
      </c>
      <c r="W149" s="61">
        <f t="shared" si="37"/>
        <v>1.4244300000000001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Broutards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60.530179500000031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2.4927524999999999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2.4927524999999999</v>
      </c>
      <c r="M162" s="61">
        <f t="shared" si="47"/>
        <v>2.4927524999999999</v>
      </c>
      <c r="N162" s="61">
        <f t="shared" si="47"/>
        <v>2.5758442500000003</v>
      </c>
      <c r="O162" s="61">
        <f t="shared" si="47"/>
        <v>2.5758442500000003</v>
      </c>
      <c r="P162" s="61">
        <f t="shared" si="47"/>
        <v>2.5758442500000003</v>
      </c>
      <c r="Q162" s="61">
        <f t="shared" si="47"/>
        <v>2.5758442500000003</v>
      </c>
      <c r="R162" s="61">
        <f t="shared" si="47"/>
        <v>2.1205799999999999</v>
      </c>
      <c r="S162" s="61">
        <f t="shared" si="47"/>
        <v>2.1205799999999999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Broutards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2.4927524999999999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2.4927524999999999</v>
      </c>
      <c r="M172" s="61">
        <f t="shared" si="57"/>
        <v>2.4927524999999999</v>
      </c>
      <c r="N172" s="61">
        <f t="shared" si="57"/>
        <v>2.5758442500000003</v>
      </c>
      <c r="O172" s="61">
        <f t="shared" si="57"/>
        <v>2.5758442500000003</v>
      </c>
      <c r="P172" s="61">
        <f t="shared" si="57"/>
        <v>2.5758442500000003</v>
      </c>
      <c r="Q172" s="61">
        <f t="shared" si="57"/>
        <v>2.5758442500000003</v>
      </c>
      <c r="R172" s="61">
        <f t="shared" si="57"/>
        <v>2.1205799999999999</v>
      </c>
      <c r="S172" s="61">
        <f t="shared" si="57"/>
        <v>2.1205799999999999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22.0227945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2.4927524999999999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1.394442</v>
      </c>
      <c r="U175" s="61">
        <f t="shared" si="58"/>
        <v>1.394442</v>
      </c>
      <c r="V175" s="61">
        <f t="shared" si="58"/>
        <v>1.4244300000000001</v>
      </c>
      <c r="W175" s="61">
        <f t="shared" si="58"/>
        <v>1.4244300000000001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1.4217839999999997</v>
      </c>
      <c r="V177" s="61">
        <f t="shared" si="60"/>
        <v>1.3759199999999998</v>
      </c>
      <c r="W177" s="61">
        <f t="shared" si="60"/>
        <v>1.3759199999999998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Broutards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1.4217839999999997</v>
      </c>
      <c r="H185" s="61">
        <f>SUM(CdTrp2!H175:H184)</f>
        <v>1.3759199999999998</v>
      </c>
      <c r="I185" s="61">
        <f>SUM(CdTrp2!I175:I184)</f>
        <v>3.8686724999999997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1.4217839999999997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2.8162259999999995</v>
      </c>
      <c r="U185" s="61">
        <f>SUM(CdTrp2!U175:U184)</f>
        <v>2.8162259999999995</v>
      </c>
      <c r="V185" s="61">
        <f>SUM(CdTrp2!V175:V184)</f>
        <v>2.8003499999999999</v>
      </c>
      <c r="W185" s="61">
        <f>SUM(CdTrp2!W175:W184)</f>
        <v>2.8003499999999999</v>
      </c>
      <c r="X185" s="61">
        <f>SUM(CdTrp2!X175:X184)</f>
        <v>0</v>
      </c>
      <c r="Y185" s="61">
        <f>SUM(CdTrp2!Y175:Y184)</f>
        <v>0</v>
      </c>
      <c r="AA185" s="64">
        <f>SUM(B185:Y185)</f>
        <v>38.507384999999999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Broutards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Broutards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2.4927524999999999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2.4927524999999999</v>
      </c>
      <c r="M215" s="61">
        <f t="shared" si="90"/>
        <v>2.4927524999999999</v>
      </c>
      <c r="N215" s="61">
        <f t="shared" si="90"/>
        <v>2.5758442500000003</v>
      </c>
      <c r="O215" s="61">
        <f t="shared" si="90"/>
        <v>2.5758442500000003</v>
      </c>
      <c r="P215" s="61">
        <f t="shared" si="90"/>
        <v>2.5758442500000003</v>
      </c>
      <c r="Q215" s="61">
        <f t="shared" si="90"/>
        <v>2.5758442500000003</v>
      </c>
      <c r="R215" s="61">
        <f t="shared" si="90"/>
        <v>2.1205799999999999</v>
      </c>
      <c r="S215" s="61">
        <f t="shared" si="90"/>
        <v>2.1205799999999999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1.4217839999999997</v>
      </c>
      <c r="H216" s="61">
        <f t="shared" si="91"/>
        <v>1.3759199999999998</v>
      </c>
      <c r="I216" s="61">
        <f t="shared" si="91"/>
        <v>3.8686724999999997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1.4217839999999997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2.8162259999999995</v>
      </c>
      <c r="U216" s="61">
        <f t="shared" si="91"/>
        <v>2.8162259999999995</v>
      </c>
      <c r="V216" s="61">
        <f t="shared" si="91"/>
        <v>2.8003499999999999</v>
      </c>
      <c r="W216" s="61">
        <f t="shared" si="91"/>
        <v>2.8003499999999999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60.53017950000001</v>
      </c>
      <c r="AB219" t="s">
        <v>222</v>
      </c>
    </row>
    <row r="220" spans="1:28" x14ac:dyDescent="0.25">
      <c r="AA220" s="30">
        <f>SUM(B215:Y217)</f>
        <v>60.53017950000001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2023-01-09T10:29:39Z</dcterms:modified>
</cp:coreProperties>
</file>